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245" activeTab="1"/>
  </bookViews>
  <sheets>
    <sheet name="Фед.казн" sheetId="1" r:id="rId1"/>
    <sheet name="СБР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<sst xmlns="http://schemas.openxmlformats.org/spreadsheetml/2006/main" count="1590" uniqueCount="535">
  <si>
    <t>СВОДНАЯ РОСПИСЬ РАСХОДОВ БЮДЖЕТА</t>
  </si>
  <si>
    <t>Коды</t>
  </si>
  <si>
    <t>на</t>
  </si>
  <si>
    <t>год</t>
  </si>
  <si>
    <t>Год</t>
  </si>
  <si>
    <t>Дата</t>
  </si>
  <si>
    <t>Наименование учреждения</t>
  </si>
  <si>
    <t>по ОКПО</t>
  </si>
  <si>
    <t>Главный распорядитель (распорядитель)</t>
  </si>
  <si>
    <t>по ППП</t>
  </si>
  <si>
    <t>Наименование бюджета</t>
  </si>
  <si>
    <t>Единица измерения: руб.</t>
  </si>
  <si>
    <t>по ОКЕИ</t>
  </si>
  <si>
    <t>383</t>
  </si>
  <si>
    <t>Ограничения:</t>
  </si>
  <si>
    <t>Код по Бюджетной классификации</t>
  </si>
  <si>
    <t>Наименование расхода</t>
  </si>
  <si>
    <t>В том числе по кварталам</t>
  </si>
  <si>
    <t>I кв.</t>
  </si>
  <si>
    <t>II кв.</t>
  </si>
  <si>
    <t>III кв.</t>
  </si>
  <si>
    <t>IV кв.</t>
  </si>
  <si>
    <t>1</t>
  </si>
  <si>
    <t>2</t>
  </si>
  <si>
    <t>3</t>
  </si>
  <si>
    <t>4</t>
  </si>
  <si>
    <t>5</t>
  </si>
  <si>
    <t>6</t>
  </si>
  <si>
    <t>7</t>
  </si>
  <si>
    <t>ПОСЕЛЕНИЯ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</si>
  <si>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</si>
  <si>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</si>
  <si>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</si>
  <si>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</si>
  <si>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</si>
  <si>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</si>
  <si>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</si>
  <si>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Прочие выплаты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</si>
  <si>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</si>
  <si>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</si>
  <si>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</si>
  <si>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</si>
  <si>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</si>
  <si>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</si>
  <si>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Резервные фонды</t>
  </si>
  <si>
    <t>Резервные фонды местных администраций</t>
  </si>
  <si>
    <t>Прочие расходы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</si>
  <si>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</si>
  <si>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</si>
  <si>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</si>
  <si>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</si>
  <si>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</si>
  <si>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</si>
  <si>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</si>
  <si>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</si>
  <si>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</si>
  <si>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Обеспечение деятельности подведомственных учреждений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</si>
  <si>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</si>
  <si>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</si>
  <si>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</si>
  <si>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Оказание других видов социальной помощи</t>
  </si>
  <si>
    <t>Социальные выплаты</t>
  </si>
  <si>
    <t>Пособия по социальной помощи населению</t>
  </si>
  <si>
    <t>ИТОГО</t>
  </si>
  <si>
    <t>(подпись)</t>
  </si>
  <si>
    <t>(расшифровка подписи)</t>
  </si>
  <si>
    <t>(дата)</t>
  </si>
  <si>
    <t xml:space="preserve">                  АДМИНИСТРАЦИЯ СЕЛЬСКОГО ПОСЕЛЕНИЯ АЛЯБЬЕВСКИЙ</t>
  </si>
  <si>
    <t xml:space="preserve"> </t>
  </si>
  <si>
    <t>Молодежная политика и оздоровление детей</t>
  </si>
  <si>
    <t>Прочие расходные материалы и предметы снабжения</t>
  </si>
  <si>
    <t xml:space="preserve">Мероприятия </t>
  </si>
  <si>
    <t>Начальник ФЭО</t>
  </si>
  <si>
    <t>Мачехина Л.П.</t>
  </si>
  <si>
    <t>Обеспечение проведения выборов и референдумов</t>
  </si>
  <si>
    <t>Проведение выборов и референдумов</t>
  </si>
  <si>
    <t>Мероприятия в области социальной политики</t>
  </si>
  <si>
    <t>Другие общегосударственные вопросы</t>
  </si>
  <si>
    <t>Государственная регистрация актов гражданского состояния</t>
  </si>
  <si>
    <t>Глава сельского поселения Алябьевский</t>
  </si>
  <si>
    <t>Михеичев Н.К.</t>
  </si>
  <si>
    <t>Выходное пособие при увольнении</t>
  </si>
  <si>
    <t>8</t>
  </si>
  <si>
    <t>9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</si>
  <si>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</si>
  <si>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Руководство и управление в сфере установленных функций </t>
  </si>
  <si>
    <t>Условно утвержденные расходы</t>
  </si>
  <si>
    <t>Центры спортивной подготовки</t>
  </si>
  <si>
    <t xml:space="preserve"> 2012 год</t>
  </si>
  <si>
    <t>Мероприятия в области жилищного хозяйства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</si>
  <si>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</si>
  <si>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РФ</t>
  </si>
  <si>
    <t>Коммунальное хозяйство</t>
  </si>
  <si>
    <t>Мероприятия в области коммунального хозяйства</t>
  </si>
  <si>
    <t>Субсидии юридическим лицам</t>
  </si>
  <si>
    <t>Целевые программы муниципальных образований</t>
  </si>
  <si>
    <t>Безвозмездные перечисления организациям, за исключением государственных и муниципальных организаций</t>
  </si>
  <si>
    <t>Поддержка коммунального хозяйства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</si>
  <si>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</si>
  <si>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</si>
  <si>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</si>
  <si>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650 0113 0000000 000 000</t>
  </si>
  <si>
    <t>650 0113 9990000 000 000</t>
  </si>
  <si>
    <t>650 0113 0930000 000 000</t>
  </si>
  <si>
    <t>650 0113 0939900 000 000</t>
  </si>
  <si>
    <t>Учреждения по обеспечению хозяйственного обслуживания</t>
  </si>
  <si>
    <t>650 0000 0000000 000 000</t>
  </si>
  <si>
    <t>650 0102 0000000 000 000</t>
  </si>
  <si>
    <t>650 0102 0020000 000 000</t>
  </si>
  <si>
    <t>650 0102 0020300 000 000</t>
  </si>
  <si>
    <t>650 0104 0000000 000 000</t>
  </si>
  <si>
    <t>650 0104 0020000 000 000</t>
  </si>
  <si>
    <t>650 0104 0020400 000 000</t>
  </si>
  <si>
    <t>650 0203 0000000 000 000</t>
  </si>
  <si>
    <t>650 0203 0010000 000 000</t>
  </si>
  <si>
    <t>650 0203 0013600 000 000</t>
  </si>
  <si>
    <t>650 0309 0000000 000 000</t>
  </si>
  <si>
    <t>650 0309 2180000 000 000</t>
  </si>
  <si>
    <t>650 0309 2180100 000 000</t>
  </si>
  <si>
    <t>650 0401 0000000 000 000</t>
  </si>
  <si>
    <t>650 0401 5224500 000 000</t>
  </si>
  <si>
    <t>650 0501 0000000 000 000</t>
  </si>
  <si>
    <t>650 0501 3500300 000 000</t>
  </si>
  <si>
    <t>650 0502 0000000 000 000</t>
  </si>
  <si>
    <t>650 0502 3510000 000 000</t>
  </si>
  <si>
    <t>650 0502 3510500 000 000</t>
  </si>
  <si>
    <t>650 0503 0000000 000 000</t>
  </si>
  <si>
    <t>650 0503 6000100 000 000</t>
  </si>
  <si>
    <t>650 0503 6000000 000 000</t>
  </si>
  <si>
    <t>650 0503 6000200 000 000</t>
  </si>
  <si>
    <t>650 0503 6000200 500 000</t>
  </si>
  <si>
    <t>650 0503 6000200 500 222</t>
  </si>
  <si>
    <t>650 0503 6000200 500 225</t>
  </si>
  <si>
    <t>650 0503 6000300 000 000</t>
  </si>
  <si>
    <t>650 0503 6000400 000 000</t>
  </si>
  <si>
    <t>650 0503 6000500 000 000</t>
  </si>
  <si>
    <t>650 0707 0000000 000 000</t>
  </si>
  <si>
    <t>650 0707 7950000 000 000</t>
  </si>
  <si>
    <t>650 0801 0000000 000 000</t>
  </si>
  <si>
    <t>650 0801 4400000 000 000</t>
  </si>
  <si>
    <t>650 0801 4409900 000 000</t>
  </si>
  <si>
    <t>650 1003 0000000 000 000</t>
  </si>
  <si>
    <t>650 1003 5058600 000 000</t>
  </si>
  <si>
    <t>650 0410 0000000 000 000</t>
  </si>
  <si>
    <t>650 0410 3300000 000 000</t>
  </si>
  <si>
    <t>650 0410 3300200 000 000</t>
  </si>
  <si>
    <t>Отдельные мероприятия в области информационно-коммуникационных технологий и связи</t>
  </si>
  <si>
    <t>Информационные технологии и связь</t>
  </si>
  <si>
    <t>650 1101 0000000 000 000</t>
  </si>
  <si>
    <t>650 1101 4820000 000 000</t>
  </si>
  <si>
    <t>650 1101 4829900 000 000</t>
  </si>
  <si>
    <t>650 1101 5129700 000 000</t>
  </si>
  <si>
    <t>650 0107 0000000 000 000</t>
  </si>
  <si>
    <t>650 0107 0200002 000 000</t>
  </si>
  <si>
    <t>650 0107 0200002 500 000</t>
  </si>
  <si>
    <t>650 0107 0200002 500 292</t>
  </si>
  <si>
    <t>650 0107 0200003 500 292</t>
  </si>
  <si>
    <t>650 0107 0200003 500 000</t>
  </si>
  <si>
    <t>650 0401 5100000 000 000</t>
  </si>
  <si>
    <t>650 0401 5100301 000 000</t>
  </si>
  <si>
    <t>650 0401 5100302 000 000</t>
  </si>
  <si>
    <t>650 1003 5140100 000 000</t>
  </si>
  <si>
    <t>650 0503 6000200 500 226</t>
  </si>
  <si>
    <t xml:space="preserve"> 2013 год</t>
  </si>
  <si>
    <t>650 0503 6000200 500 310</t>
  </si>
  <si>
    <t>650 0401 5224500 001 211</t>
  </si>
  <si>
    <t>650 0401 5224500 001 213</t>
  </si>
  <si>
    <t>Программа "Содействие занятости населения" на 2011-2013 годы</t>
  </si>
  <si>
    <t>Национальная экономика. Общеэкономические вопросы</t>
  </si>
  <si>
    <t>Выполнение других обязательств государства</t>
  </si>
  <si>
    <t>650 0111 0000000 000 000</t>
  </si>
  <si>
    <t>650 0111 0700500 000 000</t>
  </si>
  <si>
    <t xml:space="preserve">Мероприятия в сфере культуры и кинематографии </t>
  </si>
  <si>
    <t>Мероприятия в сфере культуры и кинематографии</t>
  </si>
  <si>
    <t>650 0801 4400100 000 000</t>
  </si>
  <si>
    <t>650 0412 0000000 000 000</t>
  </si>
  <si>
    <t>650 0412 5220000 000 000</t>
  </si>
  <si>
    <t>650 0412 5226300 000 000</t>
  </si>
  <si>
    <t>Другие вопросы в области национальной экономики</t>
  </si>
  <si>
    <t>Региональные целевые программы</t>
  </si>
  <si>
    <t>Программа "Энергосбережение и повышение энергетической эффективности Ханты-Мансийском автономном округе-Югре на 2011-2015 годы и на перспективу до 2020 года"</t>
  </si>
  <si>
    <t>2012</t>
  </si>
  <si>
    <t xml:space="preserve">и на плановый период 2013 и 2014 г. </t>
  </si>
  <si>
    <t xml:space="preserve">с=01.01.2012; по=31.12.2012; Баланс=Финансовый орган  </t>
  </si>
  <si>
    <t>650 0409 0000000 000 000</t>
  </si>
  <si>
    <t>Связь и информатика</t>
  </si>
  <si>
    <t>Национальная экономика.  Дорожное хозяйство</t>
  </si>
  <si>
    <t>Дорожное хозяйство</t>
  </si>
  <si>
    <t>650 0409 3150000 000 000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</si>
  <si>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</si>
  <si>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</si>
  <si>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товаров,работ и услуг для государственных (муниципальных) нужд</t>
  </si>
  <si>
    <t>650 0409 5220000 000 000</t>
  </si>
  <si>
    <t>650 0409 5226100 000 000</t>
  </si>
  <si>
    <t xml:space="preserve">Программа "Развитие транспортной системы Ханты-Мансийского автономного округа-Югры" на 2011-2013 годы и на период до 2015 года </t>
  </si>
  <si>
    <t>650 0409 5226105 000 000</t>
  </si>
  <si>
    <t xml:space="preserve">Подпрограмма "Автомобильные дороги" </t>
  </si>
  <si>
    <t>Межбюджетные трансферты</t>
  </si>
  <si>
    <t>650 0409 5226105 500 000</t>
  </si>
  <si>
    <t>650 0409 5226105 520 000</t>
  </si>
  <si>
    <t>Субсидии</t>
  </si>
  <si>
    <t>650 0409 5226105 521 000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</si>
  <si>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</si>
  <si>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650 0409 5226105 521 225</t>
  </si>
  <si>
    <r>
      <t xml:space="preserve">НЕ ДЕЙСТВУЕТ с 2012 года! </t>
    </r>
    <r>
      <rPr>
        <sz val="9"/>
        <color indexed="8"/>
        <rFont val="Times New Roman"/>
        <family val="1"/>
      </rPr>
      <t>Содержание автомобильных дорог и инженерных сооружений на них в границах городских округов и поселений в рамках благоустройства</t>
    </r>
  </si>
  <si>
    <t>Безвозмездные и безвозвратные перечисления государственным и муниципальным организациям</t>
  </si>
  <si>
    <t>650 0102 0020300 100 000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</si>
  <si>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</si>
  <si>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650 0102 0020300 120 000</t>
  </si>
  <si>
    <t>Расходы на выплаты персоналу государственных (муниципальных) органов</t>
  </si>
  <si>
    <t>650 0102 0020300 121 211</t>
  </si>
  <si>
    <t>650 0102 0020300 121 000</t>
  </si>
  <si>
    <t>Фонд оплаты труда и страховые взносы</t>
  </si>
  <si>
    <t>650 0104 0020400 100 000</t>
  </si>
  <si>
    <t>650 0104 0020400 120 000</t>
  </si>
  <si>
    <t>650 0104 0020400 121 000</t>
  </si>
  <si>
    <t>650 0104 0020400 121 211</t>
  </si>
  <si>
    <t>650 0104 0020400 121 213</t>
  </si>
  <si>
    <t>650 0104 0020400 122 000</t>
  </si>
  <si>
    <t>Иные выплаты персоналу, за исключением фонда оплаты труда</t>
  </si>
  <si>
    <t>650 0104 0020400 122 212</t>
  </si>
  <si>
    <t>650 0104 0020400 200 000</t>
  </si>
  <si>
    <t>650 0104 0020400 240 000</t>
  </si>
  <si>
    <t>650 0104 0020400 244 000</t>
  </si>
  <si>
    <t>650 0104 0020400 800 000</t>
  </si>
  <si>
    <t>650 0104 0020400 850 000</t>
  </si>
  <si>
    <t>650 0104 0020400 852 000</t>
  </si>
  <si>
    <t>650 0104 0020400 852 290</t>
  </si>
  <si>
    <t>650 0104 0020400 244 221</t>
  </si>
  <si>
    <t>650 0104 0020400 244 222</t>
  </si>
  <si>
    <t>650 0104 0020400 244 223</t>
  </si>
  <si>
    <t>650 0104 0020400 244 225</t>
  </si>
  <si>
    <t>650 0104 0020400 244 226</t>
  </si>
  <si>
    <t>650 0104 0020400 244 262</t>
  </si>
  <si>
    <t>650 0104 0020400 244 310</t>
  </si>
  <si>
    <t>650 0104 0020400 244 340</t>
  </si>
  <si>
    <t>Закупка товаров, работ и услуг для государственных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</si>
  <si>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</si>
  <si>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</si>
  <si>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</si>
  <si>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</si>
  <si>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650 0111 070000 000 000</t>
  </si>
  <si>
    <t xml:space="preserve">Резервные фонды </t>
  </si>
  <si>
    <t>650 0111 0700500 800 000</t>
  </si>
  <si>
    <t>650 0111 0700500 870 000</t>
  </si>
  <si>
    <t>Резервные средства</t>
  </si>
  <si>
    <t>650 0111 0700500 870 290</t>
  </si>
  <si>
    <t>Органы юстиции</t>
  </si>
  <si>
    <t>650 0304 0010000 000 000</t>
  </si>
  <si>
    <t>650 0304 0000000 000 000</t>
  </si>
  <si>
    <t>650 0304 0013800 000 000</t>
  </si>
  <si>
    <t>650 0304 0013802 200 000</t>
  </si>
  <si>
    <t>650 0304 0013802 240 000</t>
  </si>
  <si>
    <t>650 0304 0013802 244 000</t>
  </si>
  <si>
    <t>650 0304 0013802 244 310</t>
  </si>
  <si>
    <t>650 0304 0013802 244 340</t>
  </si>
  <si>
    <t>650 0113 0920000 000 000</t>
  </si>
  <si>
    <t>650 0113 0920305 122 212</t>
  </si>
  <si>
    <t>650 0113 0920305 122 000</t>
  </si>
  <si>
    <t>650 0113 0920305 120 000</t>
  </si>
  <si>
    <t>650 0113 0920305 100 000</t>
  </si>
  <si>
    <t>Реализация государственных функций, связанных с общегосударственным управлением</t>
  </si>
  <si>
    <t>650 0113 0939900 200 000</t>
  </si>
  <si>
    <t>650 0113 0939900 240 000</t>
  </si>
  <si>
    <t>650 0113 0939900 244 000</t>
  </si>
  <si>
    <t>650 0113 0939900 244 223</t>
  </si>
  <si>
    <t>650 0113 0939900 244 225</t>
  </si>
  <si>
    <t>650 0113 0939900 244 226</t>
  </si>
  <si>
    <t>650 0113 0939900 244 340</t>
  </si>
  <si>
    <t>650 0113 9990000 800 000</t>
  </si>
  <si>
    <t>650 0113 9990000 870 290</t>
  </si>
  <si>
    <t>650 0203 0013600 100 000</t>
  </si>
  <si>
    <t>650 0203 0013600 120 000</t>
  </si>
  <si>
    <t>650 0203 0013600 121 000</t>
  </si>
  <si>
    <t>650 0203 0013600 121 211</t>
  </si>
  <si>
    <t>650 0203 0013600 121 213</t>
  </si>
  <si>
    <t>650 0203 0013600 122 000</t>
  </si>
  <si>
    <t>650 0203 0013600 122 212</t>
  </si>
  <si>
    <t>650 0203 0013600 240 000</t>
  </si>
  <si>
    <t>650 0203 0013600 244 000</t>
  </si>
  <si>
    <t>650 0203 0013600 200 000</t>
  </si>
  <si>
    <t>650 0203 0013600 244 221</t>
  </si>
  <si>
    <t>650 0203 0013600 244 222</t>
  </si>
  <si>
    <t>650 0203 0013600 244 223</t>
  </si>
  <si>
    <t>650 0203 0013600 244 225</t>
  </si>
  <si>
    <t>650 0203 0013600 244 226</t>
  </si>
  <si>
    <t>650 0203 0013600 244 310</t>
  </si>
  <si>
    <t>650 0203 0013600 244 340</t>
  </si>
  <si>
    <t>650 0309 2180100 200 000</t>
  </si>
  <si>
    <t>650 0309 2180100 240 000</t>
  </si>
  <si>
    <t>650 0309 2180100 244 000</t>
  </si>
  <si>
    <t>650 0309 2180100 244 222</t>
  </si>
  <si>
    <t>650 0309 2180100 244 225</t>
  </si>
  <si>
    <t>650 0309 2180100 244 226</t>
  </si>
  <si>
    <t>650 0309 2180100 244 310</t>
  </si>
  <si>
    <t>650 0309 2180100 244 340</t>
  </si>
  <si>
    <t>650 0401 5100301 100 000</t>
  </si>
  <si>
    <t>650 0401 5100301 120 000</t>
  </si>
  <si>
    <t>650 0401 5100301 121 000</t>
  </si>
  <si>
    <t>650 0401 5100301 121 211</t>
  </si>
  <si>
    <t>650 0401 5100301 121 213</t>
  </si>
  <si>
    <r>
      <t xml:space="preserve">650 0401 5100302 </t>
    </r>
    <r>
      <rPr>
        <sz val="8"/>
        <color indexed="10"/>
        <rFont val="Times New Roman"/>
        <family val="1"/>
      </rPr>
      <t xml:space="preserve">001 </t>
    </r>
    <r>
      <rPr>
        <sz val="8"/>
        <color indexed="8"/>
        <rFont val="Times New Roman"/>
        <family val="1"/>
      </rPr>
      <t>000</t>
    </r>
  </si>
  <si>
    <t>650 0401 5224500 100 000</t>
  </si>
  <si>
    <t>650 0401 5224500 120 000</t>
  </si>
  <si>
    <t>650 0401 5224500 121 000</t>
  </si>
  <si>
    <t>650 0410 3300200 200 000</t>
  </si>
  <si>
    <t>650 0410 3300200 240 000</t>
  </si>
  <si>
    <t>650 0410 3300200 244 000</t>
  </si>
  <si>
    <t>650 0410 3300200 244 221</t>
  </si>
  <si>
    <t>650 0410 3300200 242 000</t>
  </si>
  <si>
    <t>650 0410 3300200 242 226</t>
  </si>
  <si>
    <t>650 0410 3300200 242 340</t>
  </si>
  <si>
    <t>Закупка товаров,работ и услуг в сфере информациронно-коммуникационных технологий</t>
  </si>
  <si>
    <t>Поддержка жилищного хозяйства</t>
  </si>
  <si>
    <t>650 0501 3500000 000 000</t>
  </si>
  <si>
    <t>650 0501 3500300 200 000</t>
  </si>
  <si>
    <t>650 0501 3500300 240 000</t>
  </si>
  <si>
    <t>650 0501 3500300 244 000</t>
  </si>
  <si>
    <t>650 0501 3500300 244 225</t>
  </si>
  <si>
    <t>650 0501 3500300 244 226</t>
  </si>
  <si>
    <t>650 0501 3500300 244 290</t>
  </si>
  <si>
    <t>650 0501 3500300 244 310</t>
  </si>
  <si>
    <t>650 0501 3500300 244 340</t>
  </si>
  <si>
    <r>
      <t xml:space="preserve">650 0502 3510500 </t>
    </r>
    <r>
      <rPr>
        <sz val="8"/>
        <color indexed="10"/>
        <rFont val="Tahoma"/>
        <family val="2"/>
      </rPr>
      <t>006</t>
    </r>
    <r>
      <rPr>
        <sz val="8"/>
        <color indexed="8"/>
        <rFont val="Tahoma"/>
        <family val="2"/>
      </rPr>
      <t xml:space="preserve"> 000</t>
    </r>
  </si>
  <si>
    <r>
      <t>650 0502 3510500</t>
    </r>
    <r>
      <rPr>
        <sz val="8"/>
        <color indexed="10"/>
        <rFont val="Tahoma"/>
        <family val="2"/>
      </rPr>
      <t xml:space="preserve"> 006 </t>
    </r>
    <r>
      <rPr>
        <sz val="8"/>
        <color indexed="8"/>
        <rFont val="Tahoma"/>
        <family val="2"/>
      </rPr>
      <t>242</t>
    </r>
  </si>
  <si>
    <t>650 0503 6000100 200 000</t>
  </si>
  <si>
    <t>650 0503 6000100 240 000</t>
  </si>
  <si>
    <t>650 0503 6000100 244 000</t>
  </si>
  <si>
    <t>650 0503 6000100 244 222</t>
  </si>
  <si>
    <t>650 0503 6000100 244 223</t>
  </si>
  <si>
    <t>650 0503 6000100 244 225</t>
  </si>
  <si>
    <t>650 0503 6000100 244 226</t>
  </si>
  <si>
    <t>650 0503 6000100 244 340</t>
  </si>
  <si>
    <t>650 0503 6000300 200 000</t>
  </si>
  <si>
    <t>650 0503 6000300 240 000</t>
  </si>
  <si>
    <t>650 0503 6000300 244 000</t>
  </si>
  <si>
    <t>650 0503 6000300 244 225</t>
  </si>
  <si>
    <t>650 0503 6000400 200 000</t>
  </si>
  <si>
    <t>650 0503 6000400 240 000</t>
  </si>
  <si>
    <t>650 0503 6000400 244 000</t>
  </si>
  <si>
    <t>650 0503 6000400 244 222</t>
  </si>
  <si>
    <t>650 0503 6000400 244 225</t>
  </si>
  <si>
    <t>650 0503 6000400 244 226</t>
  </si>
  <si>
    <t>650 0503 6000400 244 340</t>
  </si>
  <si>
    <t>650 0503 6000500 200 000</t>
  </si>
  <si>
    <t>650 0503 6000500 240 000</t>
  </si>
  <si>
    <t>650 0503 6000500 244 000</t>
  </si>
  <si>
    <t>650 0503 6000500 244 222</t>
  </si>
  <si>
    <t>650 0503 6000500 244 223</t>
  </si>
  <si>
    <t>650 0503 6000500 244 225</t>
  </si>
  <si>
    <t>650 0503 6000500 244 226</t>
  </si>
  <si>
    <t>650 0503 6000500 244 310</t>
  </si>
  <si>
    <t>650 0503 6000500 244 340</t>
  </si>
  <si>
    <t>650 0707 7953000 200 000</t>
  </si>
  <si>
    <t>650 0707 7953000 240 000</t>
  </si>
  <si>
    <t>650 0707 7953000 244 000</t>
  </si>
  <si>
    <t>650 0707 7950100 244 340</t>
  </si>
  <si>
    <t>650 0707 7953000 244 310</t>
  </si>
  <si>
    <t>650 0707 7953000 244 340</t>
  </si>
  <si>
    <t>650 0801 4409900 600 000</t>
  </si>
  <si>
    <t>650 0801 4409900 610 000</t>
  </si>
  <si>
    <t>650 0801 4409900 611 000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</si>
  <si>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</si>
  <si>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</si>
  <si>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</si>
  <si>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650 0801 4400100 600 000</t>
  </si>
  <si>
    <t>650 0801 4400100 610 000</t>
  </si>
  <si>
    <t>650 0801 4400100 611 000</t>
  </si>
  <si>
    <t>650 0801 4400100 611 241</t>
  </si>
  <si>
    <t>650 1101 4829900 600 000</t>
  </si>
  <si>
    <t>650 1101 4829900 610 000</t>
  </si>
  <si>
    <t>650 1101 4829900 611 000</t>
  </si>
  <si>
    <t>650 1101 4829900 611 241</t>
  </si>
  <si>
    <t>650 0801 4409900 611 241</t>
  </si>
  <si>
    <t>650 1101 5120000 000 000</t>
  </si>
  <si>
    <t>Физкультурно-оздоровительная работа и спортивные мероприятия</t>
  </si>
  <si>
    <t>650 1101 5129700 600 000</t>
  </si>
  <si>
    <t>650 1101 5129700 610 000</t>
  </si>
  <si>
    <t>650 1101 5129700 611 000</t>
  </si>
  <si>
    <t>650 1101 5129700 611 241</t>
  </si>
  <si>
    <r>
      <t xml:space="preserve">650 1003 5058600 </t>
    </r>
    <r>
      <rPr>
        <sz val="8"/>
        <color indexed="10"/>
        <rFont val="Tahoma"/>
        <family val="2"/>
      </rPr>
      <t>005</t>
    </r>
    <r>
      <rPr>
        <sz val="8"/>
        <color indexed="8"/>
        <rFont val="Tahoma"/>
        <family val="2"/>
      </rPr>
      <t xml:space="preserve"> 000</t>
    </r>
  </si>
  <si>
    <r>
      <t xml:space="preserve">650 1003 5058600 </t>
    </r>
    <r>
      <rPr>
        <sz val="8"/>
        <color indexed="10"/>
        <rFont val="Tahoma"/>
        <family val="2"/>
      </rPr>
      <t>005</t>
    </r>
    <r>
      <rPr>
        <sz val="8"/>
        <color indexed="8"/>
        <rFont val="Tahoma"/>
        <family val="2"/>
      </rPr>
      <t xml:space="preserve"> 262</t>
    </r>
  </si>
  <si>
    <t>д.б.</t>
  </si>
  <si>
    <t>650 0113 0013802 244 340</t>
  </si>
  <si>
    <t>650 0501 5220000 000 000</t>
  </si>
  <si>
    <t>650 0501 5227000 000 000</t>
  </si>
  <si>
    <t>Программа "Наш дом" на 2011-2013 годы</t>
  </si>
  <si>
    <t>650 0501 5227000 200 000</t>
  </si>
  <si>
    <t>650 0501 5227000 240 000</t>
  </si>
  <si>
    <t>650 0501 5227000 243 000</t>
  </si>
  <si>
    <t>Закупка товаров, работ и услуг в целях капитального ремонта государственного (муниципального) имущества</t>
  </si>
  <si>
    <t>650 0501 5227000 243 242</t>
  </si>
  <si>
    <t>Субсидии бюджетным учреждениям на иные цели</t>
  </si>
  <si>
    <t>650 1101 4829900 612 241</t>
  </si>
  <si>
    <t>650 1101 4829900 612 000</t>
  </si>
  <si>
    <t>Реализация государственных функций в области социальной политики</t>
  </si>
  <si>
    <t>Социальное обеспечение и иные выплаты населению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</si>
  <si>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</si>
  <si>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</si>
  <si>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650 1003 5140000 000 000</t>
  </si>
  <si>
    <t>650 1003 5140100 300 000</t>
  </si>
  <si>
    <t>650 1003 5140100 310 000</t>
  </si>
  <si>
    <t>650 1003 5140100 314 000</t>
  </si>
  <si>
    <t>650 1003 5140100 314 262</t>
  </si>
  <si>
    <t>650 0409 3150100 000 000</t>
  </si>
  <si>
    <t>Содержание и управление дорожным хозяйством</t>
  </si>
  <si>
    <t>650 0409 3150100 200 000</t>
  </si>
  <si>
    <t>650 0409 3150100 240 000</t>
  </si>
  <si>
    <t>650 0409 3150100 244 000</t>
  </si>
  <si>
    <t>650 0409 3150100 244 222</t>
  </si>
  <si>
    <t>650 0409 3150100 244 225</t>
  </si>
  <si>
    <t>650 0409 3150100 244 226</t>
  </si>
  <si>
    <t>650 0401 5220000 000 000</t>
  </si>
  <si>
    <t>Иные безвозмездные и безвозвратные перечисления</t>
  </si>
  <si>
    <t xml:space="preserve"> 2014 год</t>
  </si>
  <si>
    <t>650 0104 0020400 244 290</t>
  </si>
  <si>
    <r>
      <t xml:space="preserve">650 0412 5226300 </t>
    </r>
    <r>
      <rPr>
        <sz val="8"/>
        <color indexed="10"/>
        <rFont val="Tahoma"/>
        <family val="2"/>
      </rPr>
      <t>244</t>
    </r>
    <r>
      <rPr>
        <sz val="8"/>
        <color indexed="8"/>
        <rFont val="Tahoma"/>
        <family val="2"/>
      </rPr>
      <t xml:space="preserve"> 340</t>
    </r>
  </si>
  <si>
    <t>650 0412 5226300 200 000</t>
  </si>
  <si>
    <t>650 0412 5226300 240 000</t>
  </si>
  <si>
    <t>650 0412 5226300 244 226</t>
  </si>
  <si>
    <t>650 0801 4409900 612 000</t>
  </si>
  <si>
    <t>650 0801 4409900 612 241</t>
  </si>
  <si>
    <t>650 0309 2180100 100 000</t>
  </si>
  <si>
    <t>650 0309 2180100 120 000</t>
  </si>
  <si>
    <t>650 0309 2180100 121 000</t>
  </si>
  <si>
    <t>650 0309 2180100 121 211</t>
  </si>
  <si>
    <t>650 0309 2180100 121 213</t>
  </si>
  <si>
    <t>650 0309 2180100 122 000</t>
  </si>
  <si>
    <t>650 0309 2180100 122 212</t>
  </si>
  <si>
    <t>650 0314 0000000 000 000</t>
  </si>
  <si>
    <t>650 0314 5222501 244 225</t>
  </si>
  <si>
    <t>650 0314 5222501 244 310</t>
  </si>
  <si>
    <t>Другие вопросы в области национальной безопасности и правоохранительной деятельности</t>
  </si>
  <si>
    <t>Подрограмма "Профилактика правонарушений "</t>
  </si>
  <si>
    <t>650 1400 0000000 000 000</t>
  </si>
  <si>
    <t>Межбюджетные трансферты бюджетам субъектов Российской Федерации и муниципальных образований общего характера</t>
  </si>
  <si>
    <t>650 1403 000000 000 000</t>
  </si>
  <si>
    <t>Прочие межбюджетные трансферты бюджетам субъектов Российской Федерации и муниципальных образований общего характера</t>
  </si>
  <si>
    <t>650 1403 5210300 000 000</t>
  </si>
  <si>
    <t>Иные межбюджетные трансферты бюджетам бюджетной системы</t>
  </si>
  <si>
    <t>650 1403 5210300 540 000</t>
  </si>
  <si>
    <t>Иные межбюджетные трансферты мы</t>
  </si>
  <si>
    <t>650 1403 5210300 540 251</t>
  </si>
  <si>
    <t>650 0113 0920305 000 000</t>
  </si>
  <si>
    <t>Перечисления другим бюджетам бюджетной системы Российской Федерации</t>
  </si>
  <si>
    <t>Межбюджетные трансферты мы</t>
  </si>
  <si>
    <t>650 1403 5210300 500 000</t>
  </si>
  <si>
    <t>650 0102 0020300 121 213</t>
  </si>
  <si>
    <t>650 0501 5227000 800 000</t>
  </si>
  <si>
    <t>650 0501 5227000 810 000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</si>
  <si>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</si>
  <si>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650 0501 5227000 810 242</t>
  </si>
  <si>
    <t>650 0503 5220000 000 000</t>
  </si>
  <si>
    <t>650 0503 5227000 000 000</t>
  </si>
  <si>
    <t>650 0503 5227000 200 000</t>
  </si>
  <si>
    <t>650 0503 5227000 240 000</t>
  </si>
  <si>
    <t>650 0503 5227000 244 000</t>
  </si>
  <si>
    <t>650 0503 5227000 244 225</t>
  </si>
  <si>
    <t>650 0501 3500200 000 000</t>
  </si>
  <si>
    <t>650 0501 3500200 800 000</t>
  </si>
  <si>
    <t>650 0501 3500200 810 000</t>
  </si>
  <si>
    <t>650 0501 3500200 810 242</t>
  </si>
  <si>
    <t>Капитальный ремонт государственного жилищного фонда субъектов РФ и муниципального жилищного фонда</t>
  </si>
  <si>
    <t>650 0707 7950100 600 000</t>
  </si>
  <si>
    <t>650 0707 7950100 610 000</t>
  </si>
  <si>
    <t>650 0707 7950100 612 000</t>
  </si>
  <si>
    <t>650 0707 7950100 612 241</t>
  </si>
  <si>
    <t>650 0302 0000000 000 000</t>
  </si>
  <si>
    <t>Органы внутренних дел</t>
  </si>
  <si>
    <t>650 0302 2026700 000 000</t>
  </si>
  <si>
    <t>Функционирование органов в сфере национальной безопасности и правоохранительной деятельности</t>
  </si>
  <si>
    <t>650 0302 2026700 244 223</t>
  </si>
  <si>
    <t>650 0302 2026700 240 000</t>
  </si>
  <si>
    <t>650 0314 7953100 244 226</t>
  </si>
  <si>
    <t>650 0314 7953100 244 340</t>
  </si>
  <si>
    <t>Программа "Профилактика правонарушений на территории с.п. Алябьевский на 2012-2014 годы"</t>
  </si>
  <si>
    <t>650 0314 7953100 000 000</t>
  </si>
  <si>
    <t>650 0314 7953100 200 000</t>
  </si>
  <si>
    <t>650 0314 7953100 240 000</t>
  </si>
  <si>
    <t>650 0314 7953100 244 000</t>
  </si>
  <si>
    <t>650 0401 5224500 600 000</t>
  </si>
  <si>
    <t>650 0401 5224500 610 000</t>
  </si>
  <si>
    <t>650 0401 5224500 612 241</t>
  </si>
  <si>
    <t>650 0401 5224500 121 211</t>
  </si>
  <si>
    <t>650 0401 5224500 121 213</t>
  </si>
  <si>
    <t>650 0410 3300200 242 310</t>
  </si>
  <si>
    <t>650 0503 5227000 244 310</t>
  </si>
  <si>
    <t>650 0113 0900200 000 000</t>
  </si>
  <si>
    <t>650 0113 0900200 200 000</t>
  </si>
  <si>
    <t>650 0113 0900200 240 000</t>
  </si>
  <si>
    <t>650 01130900200 244 000</t>
  </si>
  <si>
    <t>650 0113 0900200 244 226</t>
  </si>
  <si>
    <t>Оценка недвижимости, признание прав и регулирование отношений по государственной и муниципальной собственности</t>
  </si>
  <si>
    <t>650 0409 3150100 244 340</t>
  </si>
  <si>
    <t>650 0503 5227000 244 226</t>
  </si>
  <si>
    <t>650 1003 5140100 360 262</t>
  </si>
  <si>
    <t>Иные выплаты населению</t>
  </si>
  <si>
    <t>650 0501 3500200 200 000</t>
  </si>
  <si>
    <t>650 0501 3500200240 000</t>
  </si>
  <si>
    <t>650 0501 3500200 244 225</t>
  </si>
  <si>
    <t>650 0503 7952100 244 310</t>
  </si>
  <si>
    <t>650 0503 7952100 244 225</t>
  </si>
  <si>
    <t>650 0503 7952100 244 000</t>
  </si>
  <si>
    <t>650 0503 7952100 240 000</t>
  </si>
  <si>
    <t>650 0503 7952100 200 000</t>
  </si>
  <si>
    <t>650 0503 7952100 000 000</t>
  </si>
  <si>
    <t>Муниципальная целевая программа "Наш дом"</t>
  </si>
  <si>
    <t>650 0501 7952100 000 000</t>
  </si>
  <si>
    <t>650 0501 7952100 810 000</t>
  </si>
  <si>
    <t>Муниципальные целевые программы</t>
  </si>
  <si>
    <t>Программа "Наш дом" на 2012-2014 годы</t>
  </si>
  <si>
    <t>650 0501 7950000 000 000</t>
  </si>
  <si>
    <t>650 0501 7952100 810 242</t>
  </si>
  <si>
    <t>650 0501 7952100 800 000</t>
  </si>
  <si>
    <t>650 0503 6000500 244 241</t>
  </si>
  <si>
    <t>650 0409 5227000 000 000</t>
  </si>
  <si>
    <t>650 0409 5227000 244 226</t>
  </si>
  <si>
    <t>650 0409 5227000 244 000</t>
  </si>
  <si>
    <t>650 0409 5227000 240 000</t>
  </si>
  <si>
    <t>650 0409 7950000 000 000</t>
  </si>
  <si>
    <t>650 0409 7952100 000 000</t>
  </si>
  <si>
    <t>650 0409 5227000 200 000</t>
  </si>
  <si>
    <t>650 0409 7952100 200 000</t>
  </si>
  <si>
    <t>650 0409 7952100 240 000</t>
  </si>
  <si>
    <t>650 0409 7952100 240 226</t>
  </si>
  <si>
    <t>650 0502 3510500 800 000</t>
  </si>
  <si>
    <t>650 0502 3510500 810 000</t>
  </si>
  <si>
    <t>650 0502 3510500 810 290</t>
  </si>
  <si>
    <t>650 0409 7952100 240 225</t>
  </si>
  <si>
    <t>650 0801 4400100 612 000</t>
  </si>
  <si>
    <t>650 0801 4400100 612 241</t>
  </si>
  <si>
    <t>650 0503 7950000 000 000</t>
  </si>
  <si>
    <t>650 0501 3500200 244 226</t>
  </si>
  <si>
    <t>650 0409 5227000 244 225</t>
  </si>
  <si>
    <t>650 0113 0939900 244 222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</si>
</sst>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imes New Roman"/>
      <family val="1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b/>
      <i/>
      <sz val="9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6"/>
      <color indexed="8"/>
      <name val="Arial"/>
      <family val="2"/>
    </font>
    <font>
      <sz val="9"/>
      <name val="Times New Roman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Tahoma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/>
    </xf>
    <xf numFmtId="4" fontId="2" fillId="3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4" borderId="13" xfId="0" applyNumberFormat="1" applyFont="1" applyFill="1" applyBorder="1" applyAlignment="1">
      <alignment horizontal="right" vertical="center" wrapText="1"/>
    </xf>
    <xf numFmtId="4" fontId="2" fillId="4" borderId="14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vertical="center" wrapText="1"/>
    </xf>
    <xf numFmtId="49" fontId="2" fillId="6" borderId="15" xfId="0" applyNumberFormat="1" applyFont="1" applyFill="1" applyBorder="1" applyAlignment="1">
      <alignment horizontal="center" vertical="center" wrapText="1"/>
    </xf>
    <xf numFmtId="4" fontId="0" fillId="6" borderId="0" xfId="0" applyNumberFormat="1" applyFill="1" applyAlignment="1">
      <alignment/>
    </xf>
    <xf numFmtId="0" fontId="0" fillId="6" borderId="0" xfId="0" applyFill="1" applyAlignment="1">
      <alignment/>
    </xf>
    <xf numFmtId="4" fontId="2" fillId="6" borderId="13" xfId="0" applyNumberFormat="1" applyFont="1" applyFill="1" applyBorder="1" applyAlignment="1">
      <alignment horizontal="right" vertical="center" wrapText="1"/>
    </xf>
    <xf numFmtId="4" fontId="2" fillId="4" borderId="4" xfId="0" applyNumberFormat="1" applyFont="1" applyFill="1" applyBorder="1" applyAlignment="1">
      <alignment horizontal="right" vertical="center" wrapText="1"/>
    </xf>
    <xf numFmtId="4" fontId="2" fillId="6" borderId="6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4" fontId="2" fillId="4" borderId="16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4" fontId="9" fillId="3" borderId="13" xfId="0" applyNumberFormat="1" applyFont="1" applyFill="1" applyBorder="1" applyAlignment="1">
      <alignment horizontal="right" vertical="center" wrapText="1"/>
    </xf>
    <xf numFmtId="4" fontId="14" fillId="4" borderId="0" xfId="0" applyNumberFormat="1" applyFont="1" applyFill="1" applyAlignment="1">
      <alignment/>
    </xf>
    <xf numFmtId="0" fontId="14" fillId="3" borderId="0" xfId="0" applyFont="1" applyFill="1" applyAlignment="1">
      <alignment/>
    </xf>
    <xf numFmtId="49" fontId="9" fillId="2" borderId="15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right" vertical="center" wrapText="1"/>
    </xf>
    <xf numFmtId="4" fontId="9" fillId="2" borderId="13" xfId="0" applyNumberFormat="1" applyFont="1" applyFill="1" applyBorder="1" applyAlignment="1">
      <alignment horizontal="right" vertical="center" wrapText="1"/>
    </xf>
    <xf numFmtId="4" fontId="14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9" fillId="3" borderId="6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4" fontId="9" fillId="4" borderId="6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right" vertical="center" wrapText="1"/>
    </xf>
    <xf numFmtId="4" fontId="2" fillId="6" borderId="8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/>
    </xf>
    <xf numFmtId="4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 vertical="center" wrapText="1"/>
    </xf>
    <xf numFmtId="4" fontId="16" fillId="4" borderId="8" xfId="0" applyNumberFormat="1" applyFont="1" applyFill="1" applyBorder="1" applyAlignment="1">
      <alignment horizontal="right" vertical="center" wrapText="1"/>
    </xf>
    <xf numFmtId="4" fontId="16" fillId="4" borderId="13" xfId="0" applyNumberFormat="1" applyFont="1" applyFill="1" applyBorder="1" applyAlignment="1">
      <alignment horizontal="right" vertical="center" wrapText="1"/>
    </xf>
    <xf numFmtId="4" fontId="16" fillId="4" borderId="6" xfId="0" applyNumberFormat="1" applyFont="1" applyFill="1" applyBorder="1" applyAlignment="1">
      <alignment horizontal="right" vertical="center" wrapText="1"/>
    </xf>
    <xf numFmtId="4" fontId="18" fillId="4" borderId="8" xfId="0" applyNumberFormat="1" applyFont="1" applyFill="1" applyBorder="1" applyAlignment="1">
      <alignment horizontal="right" vertical="center" wrapText="1"/>
    </xf>
    <xf numFmtId="4" fontId="18" fillId="4" borderId="13" xfId="0" applyNumberFormat="1" applyFont="1" applyFill="1" applyBorder="1" applyAlignment="1">
      <alignment horizontal="right" vertical="center" wrapText="1"/>
    </xf>
    <xf numFmtId="4" fontId="18" fillId="0" borderId="8" xfId="0" applyNumberFormat="1" applyFont="1" applyFill="1" applyBorder="1" applyAlignment="1">
      <alignment horizontal="right" vertical="center" wrapText="1"/>
    </xf>
    <xf numFmtId="4" fontId="18" fillId="0" borderId="13" xfId="0" applyNumberFormat="1" applyFont="1" applyFill="1" applyBorder="1" applyAlignment="1">
      <alignment horizontal="right" vertical="center" wrapText="1"/>
    </xf>
    <xf numFmtId="4" fontId="19" fillId="2" borderId="8" xfId="0" applyNumberFormat="1" applyFont="1" applyFill="1" applyBorder="1" applyAlignment="1">
      <alignment horizontal="right" vertical="center" wrapText="1"/>
    </xf>
    <xf numFmtId="4" fontId="19" fillId="2" borderId="13" xfId="0" applyNumberFormat="1" applyFont="1" applyFill="1" applyBorder="1" applyAlignment="1">
      <alignment horizontal="right" vertical="center" wrapText="1"/>
    </xf>
    <xf numFmtId="4" fontId="19" fillId="0" borderId="8" xfId="0" applyNumberFormat="1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4" fontId="19" fillId="4" borderId="8" xfId="0" applyNumberFormat="1" applyFont="1" applyFill="1" applyBorder="1" applyAlignment="1">
      <alignment horizontal="right" vertical="center" wrapText="1"/>
    </xf>
    <xf numFmtId="4" fontId="19" fillId="4" borderId="13" xfId="0" applyNumberFormat="1" applyFont="1" applyFill="1" applyBorder="1" applyAlignment="1">
      <alignment horizontal="right" vertical="center" wrapText="1"/>
    </xf>
    <xf numFmtId="4" fontId="2" fillId="4" borderId="18" xfId="0" applyNumberFormat="1" applyFont="1" applyFill="1" applyBorder="1" applyAlignment="1">
      <alignment horizontal="right" vertical="center" wrapText="1"/>
    </xf>
    <xf numFmtId="4" fontId="2" fillId="3" borderId="9" xfId="0" applyNumberFormat="1" applyFont="1" applyFill="1" applyBorder="1" applyAlignment="1">
      <alignment horizontal="right" vertical="center" wrapText="1"/>
    </xf>
    <xf numFmtId="4" fontId="2" fillId="6" borderId="9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16" fillId="4" borderId="9" xfId="0" applyNumberFormat="1" applyFont="1" applyFill="1" applyBorder="1" applyAlignment="1">
      <alignment horizontal="right" vertical="center" wrapText="1"/>
    </xf>
    <xf numFmtId="4" fontId="2" fillId="4" borderId="9" xfId="0" applyNumberFormat="1" applyFont="1" applyFill="1" applyBorder="1" applyAlignment="1">
      <alignment horizontal="right" vertical="center" wrapText="1"/>
    </xf>
    <xf numFmtId="4" fontId="18" fillId="4" borderId="9" xfId="0" applyNumberFormat="1" applyFont="1" applyFill="1" applyBorder="1" applyAlignment="1">
      <alignment horizontal="right" vertical="center" wrapText="1"/>
    </xf>
    <xf numFmtId="4" fontId="19" fillId="0" borderId="9" xfId="0" applyNumberFormat="1" applyFont="1" applyFill="1" applyBorder="1" applyAlignment="1">
      <alignment horizontal="right" vertical="center" wrapText="1"/>
    </xf>
    <xf numFmtId="4" fontId="19" fillId="4" borderId="9" xfId="0" applyNumberFormat="1" applyFont="1" applyFill="1" applyBorder="1" applyAlignment="1">
      <alignment horizontal="right" vertical="center" wrapText="1"/>
    </xf>
    <xf numFmtId="4" fontId="18" fillId="4" borderId="6" xfId="0" applyNumberFormat="1" applyFont="1" applyFill="1" applyBorder="1" applyAlignment="1">
      <alignment horizontal="right" vertical="center" wrapText="1"/>
    </xf>
    <xf numFmtId="0" fontId="12" fillId="6" borderId="8" xfId="0" applyNumberFormat="1" applyFont="1" applyFill="1" applyBorder="1" applyAlignment="1" applyProtection="1">
      <alignment horizontal="left" vertical="top" wrapText="1"/>
      <protection/>
    </xf>
    <xf numFmtId="4" fontId="21" fillId="4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" fontId="0" fillId="3" borderId="0" xfId="0" applyNumberFormat="1" applyFill="1" applyAlignment="1">
      <alignment/>
    </xf>
    <xf numFmtId="4" fontId="0" fillId="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8" fillId="0" borderId="9" xfId="0" applyNumberFormat="1" applyFont="1" applyFill="1" applyBorder="1" applyAlignment="1">
      <alignment horizontal="right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4" fontId="19" fillId="4" borderId="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4" fontId="19" fillId="3" borderId="9" xfId="0" applyNumberFormat="1" applyFont="1" applyFill="1" applyBorder="1" applyAlignment="1">
      <alignment horizontal="right" vertical="center" wrapText="1"/>
    </xf>
    <xf numFmtId="4" fontId="19" fillId="3" borderId="6" xfId="0" applyNumberFormat="1" applyFont="1" applyFill="1" applyBorder="1" applyAlignment="1">
      <alignment horizontal="right" vertical="center" wrapText="1"/>
    </xf>
    <xf numFmtId="4" fontId="19" fillId="2" borderId="9" xfId="0" applyNumberFormat="1" applyFont="1" applyFill="1" applyBorder="1" applyAlignment="1">
      <alignment horizontal="right" vertical="center" wrapText="1"/>
    </xf>
    <xf numFmtId="4" fontId="19" fillId="2" borderId="6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 wrapText="1"/>
    </xf>
    <xf numFmtId="4" fontId="18" fillId="3" borderId="6" xfId="0" applyNumberFormat="1" applyFont="1" applyFill="1" applyBorder="1" applyAlignment="1">
      <alignment horizontal="right" vertical="center" wrapText="1"/>
    </xf>
    <xf numFmtId="4" fontId="18" fillId="6" borderId="6" xfId="0" applyNumberFormat="1" applyFont="1" applyFill="1" applyBorder="1" applyAlignment="1">
      <alignment horizontal="right" vertical="center" wrapText="1"/>
    </xf>
    <xf numFmtId="4" fontId="18" fillId="2" borderId="6" xfId="0" applyNumberFormat="1" applyFont="1" applyFill="1" applyBorder="1" applyAlignment="1">
      <alignment horizontal="right" vertical="center" wrapText="1"/>
    </xf>
    <xf numFmtId="4" fontId="18" fillId="3" borderId="9" xfId="0" applyNumberFormat="1" applyFont="1" applyFill="1" applyBorder="1" applyAlignment="1">
      <alignment horizontal="right" vertical="center" wrapText="1"/>
    </xf>
    <xf numFmtId="4" fontId="18" fillId="6" borderId="9" xfId="0" applyNumberFormat="1" applyFont="1" applyFill="1" applyBorder="1" applyAlignment="1">
      <alignment horizontal="right" vertical="center" wrapText="1"/>
    </xf>
    <xf numFmtId="4" fontId="18" fillId="2" borderId="9" xfId="0" applyNumberFormat="1" applyFont="1" applyFill="1" applyBorder="1" applyAlignment="1">
      <alignment horizontal="right" vertical="center" wrapText="1"/>
    </xf>
    <xf numFmtId="0" fontId="2" fillId="7" borderId="0" xfId="0" applyFont="1" applyFill="1" applyAlignment="1">
      <alignment vertical="top" wrapText="1"/>
    </xf>
    <xf numFmtId="4" fontId="2" fillId="7" borderId="0" xfId="0" applyNumberFormat="1" applyFont="1" applyFill="1" applyAlignment="1">
      <alignment horizontal="left" vertical="top" wrapText="1"/>
    </xf>
    <xf numFmtId="0" fontId="2" fillId="7" borderId="0" xfId="0" applyFont="1" applyFill="1" applyBorder="1" applyAlignment="1">
      <alignment vertical="top" wrapText="1"/>
    </xf>
    <xf numFmtId="4" fontId="2" fillId="7" borderId="0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" fontId="2" fillId="4" borderId="21" xfId="0" applyNumberFormat="1" applyFont="1" applyFill="1" applyBorder="1" applyAlignment="1">
      <alignment horizontal="right" vertical="center" wrapText="1"/>
    </xf>
    <xf numFmtId="49" fontId="18" fillId="6" borderId="15" xfId="0" applyNumberFormat="1" applyFont="1" applyFill="1" applyBorder="1" applyAlignment="1">
      <alignment horizontal="center" vertical="center" wrapText="1"/>
    </xf>
    <xf numFmtId="49" fontId="9" fillId="6" borderId="15" xfId="0" applyNumberFormat="1" applyFont="1" applyFill="1" applyBorder="1" applyAlignment="1">
      <alignment horizontal="center" vertical="center" wrapText="1"/>
    </xf>
    <xf numFmtId="4" fontId="9" fillId="6" borderId="6" xfId="0" applyNumberFormat="1" applyFont="1" applyFill="1" applyBorder="1" applyAlignment="1">
      <alignment horizontal="right"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4" fontId="2" fillId="4" borderId="22" xfId="0" applyNumberFormat="1" applyFont="1" applyFill="1" applyBorder="1" applyAlignment="1">
      <alignment horizontal="right" vertical="center" wrapText="1"/>
    </xf>
    <xf numFmtId="4" fontId="9" fillId="6" borderId="9" xfId="0" applyNumberFormat="1" applyFont="1" applyFill="1" applyBorder="1" applyAlignment="1">
      <alignment horizontal="right" vertical="center" wrapText="1"/>
    </xf>
    <xf numFmtId="4" fontId="9" fillId="6" borderId="13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" fontId="9" fillId="6" borderId="8" xfId="0" applyNumberFormat="1" applyFont="1" applyFill="1" applyBorder="1" applyAlignment="1">
      <alignment horizontal="right" vertical="center" wrapText="1"/>
    </xf>
    <xf numFmtId="4" fontId="2" fillId="4" borderId="24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3" borderId="25" xfId="0" applyNumberFormat="1" applyFont="1" applyFill="1" applyBorder="1" applyAlignment="1">
      <alignment horizontal="right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4" fontId="2" fillId="6" borderId="22" xfId="0" applyNumberFormat="1" applyFont="1" applyFill="1" applyBorder="1" applyAlignment="1">
      <alignment horizontal="right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0" fontId="12" fillId="0" borderId="8" xfId="0" applyNumberFormat="1" applyFont="1" applyFill="1" applyBorder="1" applyAlignment="1" applyProtection="1">
      <alignment horizontal="left" vertical="top" wrapText="1"/>
      <protection/>
    </xf>
    <xf numFmtId="49" fontId="12" fillId="0" borderId="8" xfId="0" applyNumberFormat="1" applyFont="1" applyFill="1" applyBorder="1" applyAlignment="1">
      <alignment horizontal="left" vertical="center" wrapText="1"/>
    </xf>
    <xf numFmtId="49" fontId="12" fillId="2" borderId="8" xfId="0" applyNumberFormat="1" applyFont="1" applyFill="1" applyBorder="1" applyAlignment="1">
      <alignment horizontal="left" vertical="center" wrapText="1"/>
    </xf>
    <xf numFmtId="49" fontId="12" fillId="6" borderId="8" xfId="0" applyNumberFormat="1" applyFont="1" applyFill="1" applyBorder="1" applyAlignment="1">
      <alignment horizontal="left" vertical="center" wrapText="1"/>
    </xf>
    <xf numFmtId="4" fontId="18" fillId="6" borderId="13" xfId="0" applyNumberFormat="1" applyFont="1" applyFill="1" applyBorder="1" applyAlignment="1">
      <alignment horizontal="right" vertical="center" wrapText="1"/>
    </xf>
    <xf numFmtId="4" fontId="18" fillId="2" borderId="13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" fontId="2" fillId="4" borderId="28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" fontId="2" fillId="4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4" fontId="18" fillId="4" borderId="26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18" fillId="6" borderId="26" xfId="0" applyNumberFormat="1" applyFont="1" applyFill="1" applyBorder="1" applyAlignment="1">
      <alignment horizontal="right" vertical="center" wrapText="1"/>
    </xf>
    <xf numFmtId="4" fontId="18" fillId="2" borderId="26" xfId="0" applyNumberFormat="1" applyFont="1" applyFill="1" applyBorder="1" applyAlignment="1">
      <alignment horizontal="right" vertical="center" wrapText="1"/>
    </xf>
    <xf numFmtId="4" fontId="18" fillId="0" borderId="26" xfId="0" applyNumberFormat="1" applyFont="1" applyFill="1" applyBorder="1" applyAlignment="1">
      <alignment horizontal="right" vertical="center" wrapText="1"/>
    </xf>
    <xf numFmtId="4" fontId="15" fillId="0" borderId="32" xfId="0" applyNumberFormat="1" applyFont="1" applyFill="1" applyBorder="1" applyAlignment="1">
      <alignment horizontal="right" vertical="center" wrapText="1"/>
    </xf>
    <xf numFmtId="4" fontId="15" fillId="0" borderId="33" xfId="0" applyNumberFormat="1" applyFont="1" applyFill="1" applyBorder="1" applyAlignment="1">
      <alignment horizontal="right" vertical="center" wrapText="1"/>
    </xf>
    <xf numFmtId="14" fontId="2" fillId="8" borderId="6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left" vertical="top" wrapText="1"/>
      <protection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3" fillId="6" borderId="8" xfId="0" applyNumberFormat="1" applyFont="1" applyFill="1" applyBorder="1" applyAlignment="1">
      <alignment horizontal="left" vertical="center" wrapText="1"/>
    </xf>
    <xf numFmtId="0" fontId="12" fillId="0" borderId="26" xfId="0" applyNumberFormat="1" applyFont="1" applyFill="1" applyBorder="1" applyAlignment="1" applyProtection="1">
      <alignment horizontal="left" vertical="top" wrapText="1"/>
      <protection/>
    </xf>
    <xf numFmtId="49" fontId="2" fillId="6" borderId="8" xfId="0" applyNumberFormat="1" applyFont="1" applyFill="1" applyBorder="1" applyAlignment="1">
      <alignment horizontal="center" vertical="center" wrapText="1"/>
    </xf>
    <xf numFmtId="49" fontId="13" fillId="3" borderId="26" xfId="0" applyNumberFormat="1" applyFont="1" applyFill="1" applyBorder="1" applyAlignment="1">
      <alignment horizontal="left" vertical="center" wrapText="1"/>
    </xf>
    <xf numFmtId="49" fontId="13" fillId="3" borderId="8" xfId="0" applyNumberFormat="1" applyFont="1" applyFill="1" applyBorder="1" applyAlignment="1">
      <alignment horizontal="left" vertical="center" wrapText="1"/>
    </xf>
    <xf numFmtId="49" fontId="13" fillId="6" borderId="26" xfId="0" applyNumberFormat="1" applyFont="1" applyFill="1" applyBorder="1" applyAlignment="1">
      <alignment horizontal="left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6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2" fillId="2" borderId="26" xfId="0" applyNumberFormat="1" applyFont="1" applyFill="1" applyBorder="1" applyAlignment="1" applyProtection="1">
      <alignment horizontal="left" vertical="top" wrapText="1"/>
      <protection/>
    </xf>
    <xf numFmtId="0" fontId="12" fillId="2" borderId="8" xfId="0" applyNumberFormat="1" applyFont="1" applyFill="1" applyBorder="1" applyAlignment="1" applyProtection="1">
      <alignment horizontal="left" vertical="top" wrapText="1"/>
      <protection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6" borderId="15" xfId="0" applyNumberFormat="1" applyFont="1" applyFill="1" applyBorder="1" applyAlignment="1">
      <alignment horizontal="center" vertical="center" wrapText="1"/>
    </xf>
    <xf numFmtId="0" fontId="12" fillId="6" borderId="26" xfId="0" applyNumberFormat="1" applyFont="1" applyFill="1" applyBorder="1" applyAlignment="1" applyProtection="1">
      <alignment horizontal="left" vertical="top" wrapText="1"/>
      <protection/>
    </xf>
    <xf numFmtId="0" fontId="12" fillId="6" borderId="8" xfId="0" applyNumberFormat="1" applyFont="1" applyFill="1" applyBorder="1" applyAlignment="1" applyProtection="1">
      <alignment horizontal="left" vertical="top" wrapText="1"/>
      <protection/>
    </xf>
    <xf numFmtId="49" fontId="2" fillId="3" borderId="26" xfId="0" applyNumberFormat="1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49" fontId="13" fillId="0" borderId="26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49" fontId="2" fillId="2" borderId="26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13" fillId="2" borderId="26" xfId="0" applyNumberFormat="1" applyFont="1" applyFill="1" applyBorder="1" applyAlignment="1">
      <alignment horizontal="left" vertical="center" wrapText="1"/>
    </xf>
    <xf numFmtId="49" fontId="13" fillId="2" borderId="8" xfId="0" applyNumberFormat="1" applyFont="1" applyFill="1" applyBorder="1" applyAlignment="1">
      <alignment horizontal="left" vertical="center" wrapText="1"/>
    </xf>
    <xf numFmtId="0" fontId="12" fillId="6" borderId="26" xfId="0" applyNumberFormat="1" applyFont="1" applyFill="1" applyBorder="1" applyAlignment="1" applyProtection="1">
      <alignment horizontal="left" vertical="center" wrapText="1"/>
      <protection/>
    </xf>
    <xf numFmtId="0" fontId="12" fillId="6" borderId="8" xfId="0" applyNumberFormat="1" applyFont="1" applyFill="1" applyBorder="1" applyAlignment="1" applyProtection="1">
      <alignment horizontal="left" vertical="center" wrapText="1"/>
      <protection/>
    </xf>
    <xf numFmtId="0" fontId="12" fillId="0" borderId="26" xfId="0" applyNumberFormat="1" applyFont="1" applyFill="1" applyBorder="1" applyAlignment="1" applyProtection="1">
      <alignment horizontal="left" vertical="top" wrapText="1"/>
      <protection/>
    </xf>
    <xf numFmtId="0" fontId="12" fillId="0" borderId="8" xfId="0" applyNumberFormat="1" applyFont="1" applyFill="1" applyBorder="1" applyAlignment="1" applyProtection="1">
      <alignment horizontal="left" vertical="top" wrapText="1"/>
      <protection/>
    </xf>
    <xf numFmtId="49" fontId="12" fillId="2" borderId="26" xfId="0" applyNumberFormat="1" applyFont="1" applyFill="1" applyBorder="1" applyAlignment="1">
      <alignment horizontal="left" vertical="center" wrapText="1"/>
    </xf>
    <xf numFmtId="49" fontId="12" fillId="2" borderId="8" xfId="0" applyNumberFormat="1" applyFont="1" applyFill="1" applyBorder="1" applyAlignment="1">
      <alignment horizontal="left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2" fillId="6" borderId="26" xfId="0" applyNumberFormat="1" applyFont="1" applyFill="1" applyBorder="1" applyAlignment="1" applyProtection="1">
      <alignment horizontal="left" vertical="top" wrapText="1"/>
      <protection/>
    </xf>
    <xf numFmtId="0" fontId="12" fillId="6" borderId="8" xfId="0" applyNumberFormat="1" applyFont="1" applyFill="1" applyBorder="1" applyAlignment="1" applyProtection="1">
      <alignment horizontal="left" vertical="top" wrapText="1"/>
      <protection/>
    </xf>
    <xf numFmtId="49" fontId="12" fillId="0" borderId="26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46" xfId="0" applyNumberFormat="1" applyFont="1" applyFill="1" applyBorder="1" applyAlignment="1">
      <alignment horizontal="center" vertical="center" wrapText="1"/>
    </xf>
    <xf numFmtId="49" fontId="13" fillId="4" borderId="47" xfId="0" applyNumberFormat="1" applyFont="1" applyFill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49" fontId="16" fillId="3" borderId="22" xfId="0" applyNumberFormat="1" applyFont="1" applyFill="1" applyBorder="1" applyAlignment="1">
      <alignment horizontal="center" vertical="center" wrapText="1"/>
    </xf>
    <xf numFmtId="49" fontId="16" fillId="3" borderId="8" xfId="0" applyNumberFormat="1" applyFont="1" applyFill="1" applyBorder="1" applyAlignment="1">
      <alignment horizontal="center" vertical="center" wrapText="1"/>
    </xf>
    <xf numFmtId="49" fontId="16" fillId="3" borderId="15" xfId="0" applyNumberFormat="1" applyFont="1" applyFill="1" applyBorder="1" applyAlignment="1">
      <alignment horizontal="center" vertical="center" wrapText="1"/>
    </xf>
    <xf numFmtId="0" fontId="20" fillId="3" borderId="26" xfId="0" applyNumberFormat="1" applyFont="1" applyFill="1" applyBorder="1" applyAlignment="1" applyProtection="1">
      <alignment horizontal="left" vertical="top" wrapText="1"/>
      <protection/>
    </xf>
    <xf numFmtId="0" fontId="20" fillId="3" borderId="8" xfId="0" applyNumberFormat="1" applyFont="1" applyFill="1" applyBorder="1" applyAlignment="1" applyProtection="1">
      <alignment horizontal="left" vertical="top" wrapText="1"/>
      <protection/>
    </xf>
    <xf numFmtId="49" fontId="16" fillId="2" borderId="22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center" vertical="center" wrapText="1"/>
    </xf>
    <xf numFmtId="0" fontId="20" fillId="2" borderId="26" xfId="0" applyNumberFormat="1" applyFont="1" applyFill="1" applyBorder="1" applyAlignment="1" applyProtection="1">
      <alignment horizontal="left" vertical="top" wrapText="1"/>
      <protection/>
    </xf>
    <xf numFmtId="0" fontId="20" fillId="2" borderId="8" xfId="0" applyNumberFormat="1" applyFont="1" applyFill="1" applyBorder="1" applyAlignment="1" applyProtection="1">
      <alignment horizontal="left" vertical="top" wrapText="1"/>
      <protection/>
    </xf>
    <xf numFmtId="0" fontId="20" fillId="0" borderId="26" xfId="0" applyNumberFormat="1" applyFont="1" applyFill="1" applyBorder="1" applyAlignment="1" applyProtection="1">
      <alignment horizontal="left" vertical="top" wrapText="1"/>
      <protection/>
    </xf>
    <xf numFmtId="0" fontId="20" fillId="0" borderId="8" xfId="0" applyNumberFormat="1" applyFont="1" applyFill="1" applyBorder="1" applyAlignment="1" applyProtection="1">
      <alignment horizontal="left" vertical="top" wrapText="1"/>
      <protection/>
    </xf>
    <xf numFmtId="49" fontId="20" fillId="0" borderId="26" xfId="0" applyNumberFormat="1" applyFont="1" applyFill="1" applyBorder="1" applyAlignment="1">
      <alignment horizontal="left" vertical="center" wrapText="1"/>
    </xf>
    <xf numFmtId="49" fontId="20" fillId="0" borderId="8" xfId="0" applyNumberFormat="1" applyFont="1" applyFill="1" applyBorder="1" applyAlignment="1">
      <alignment horizontal="left" vertical="center" wrapText="1"/>
    </xf>
    <xf numFmtId="49" fontId="12" fillId="6" borderId="26" xfId="0" applyNumberFormat="1" applyFont="1" applyFill="1" applyBorder="1" applyAlignment="1">
      <alignment horizontal="left" vertical="center" wrapText="1"/>
    </xf>
    <xf numFmtId="49" fontId="12" fillId="6" borderId="8" xfId="0" applyNumberFormat="1" applyFont="1" applyFill="1" applyBorder="1" applyAlignment="1">
      <alignment horizontal="left" vertical="center" wrapText="1"/>
    </xf>
    <xf numFmtId="49" fontId="18" fillId="6" borderId="22" xfId="0" applyNumberFormat="1" applyFont="1" applyFill="1" applyBorder="1" applyAlignment="1">
      <alignment horizontal="center" vertical="center" wrapText="1"/>
    </xf>
    <xf numFmtId="49" fontId="18" fillId="6" borderId="8" xfId="0" applyNumberFormat="1" applyFont="1" applyFill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2" borderId="15" xfId="0" applyNumberFormat="1" applyFont="1" applyFill="1" applyBorder="1" applyAlignment="1">
      <alignment horizontal="center" vertical="center" wrapText="1"/>
    </xf>
    <xf numFmtId="0" fontId="12" fillId="3" borderId="26" xfId="0" applyNumberFormat="1" applyFont="1" applyFill="1" applyBorder="1" applyAlignment="1" applyProtection="1">
      <alignment horizontal="left" vertical="top" wrapText="1"/>
      <protection/>
    </xf>
    <xf numFmtId="0" fontId="12" fillId="3" borderId="8" xfId="0" applyNumberFormat="1" applyFont="1" applyFill="1" applyBorder="1" applyAlignment="1" applyProtection="1">
      <alignment horizontal="left" vertical="top" wrapText="1"/>
      <protection/>
    </xf>
    <xf numFmtId="0" fontId="12" fillId="2" borderId="26" xfId="0" applyNumberFormat="1" applyFont="1" applyFill="1" applyBorder="1" applyAlignment="1" applyProtection="1">
      <alignment horizontal="left" vertical="top" wrapText="1"/>
      <protection/>
    </xf>
    <xf numFmtId="0" fontId="12" fillId="2" borderId="8" xfId="0" applyNumberFormat="1" applyFont="1" applyFill="1" applyBorder="1" applyAlignment="1" applyProtection="1">
      <alignment horizontal="left" vertical="top" wrapText="1"/>
      <protection/>
    </xf>
    <xf numFmtId="49" fontId="9" fillId="3" borderId="26" xfId="0" applyNumberFormat="1" applyFont="1" applyFill="1" applyBorder="1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left" vertical="center" wrapText="1"/>
    </xf>
    <xf numFmtId="49" fontId="9" fillId="3" borderId="22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left" vertical="center" wrapText="1"/>
    </xf>
    <xf numFmtId="49" fontId="9" fillId="2" borderId="8" xfId="0" applyNumberFormat="1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6" borderId="26" xfId="0" applyNumberFormat="1" applyFont="1" applyFill="1" applyBorder="1" applyAlignment="1">
      <alignment horizontal="left" vertical="center" wrapText="1"/>
    </xf>
    <xf numFmtId="49" fontId="9" fillId="6" borderId="8" xfId="0" applyNumberFormat="1" applyFont="1" applyFill="1" applyBorder="1" applyAlignment="1">
      <alignment horizontal="left" vertical="center" wrapText="1"/>
    </xf>
    <xf numFmtId="49" fontId="9" fillId="6" borderId="22" xfId="0" applyNumberFormat="1" applyFont="1" applyFill="1" applyBorder="1" applyAlignment="1">
      <alignment horizontal="center" vertical="center" wrapText="1"/>
    </xf>
    <xf numFmtId="49" fontId="9" fillId="6" borderId="8" xfId="0" applyNumberFormat="1" applyFont="1" applyFill="1" applyBorder="1" applyAlignment="1">
      <alignment horizontal="center" vertical="center" wrapText="1"/>
    </xf>
    <xf numFmtId="0" fontId="12" fillId="2" borderId="26" xfId="0" applyNumberFormat="1" applyFont="1" applyFill="1" applyBorder="1" applyAlignment="1" applyProtection="1">
      <alignment horizontal="left" vertical="center" wrapText="1"/>
      <protection/>
    </xf>
    <xf numFmtId="0" fontId="12" fillId="2" borderId="8" xfId="0" applyNumberFormat="1" applyFont="1" applyFill="1" applyBorder="1" applyAlignment="1" applyProtection="1">
      <alignment horizontal="left" vertical="center" wrapText="1"/>
      <protection/>
    </xf>
    <xf numFmtId="49" fontId="20" fillId="2" borderId="26" xfId="0" applyNumberFormat="1" applyFont="1" applyFill="1" applyBorder="1" applyAlignment="1">
      <alignment horizontal="left" vertical="center" wrapText="1"/>
    </xf>
    <xf numFmtId="0" fontId="12" fillId="3" borderId="26" xfId="0" applyNumberFormat="1" applyFont="1" applyFill="1" applyBorder="1" applyAlignment="1" applyProtection="1">
      <alignment horizontal="left" vertical="top"/>
      <protection/>
    </xf>
    <xf numFmtId="0" fontId="12" fillId="3" borderId="8" xfId="0" applyNumberFormat="1" applyFont="1" applyFill="1" applyBorder="1" applyAlignment="1" applyProtection="1">
      <alignment horizontal="left" vertical="top"/>
      <protection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1"/>
  <sheetViews>
    <sheetView zoomScale="85" zoomScaleNormal="85" workbookViewId="0" topLeftCell="A363">
      <selection activeCell="A386" sqref="A386:IV386"/>
    </sheetView>
  </sheetViews>
  <sheetFormatPr defaultColWidth="9.00390625" defaultRowHeight="12.75"/>
  <cols>
    <col min="1" max="1" width="7.00390625" style="1" customWidth="1"/>
    <col min="2" max="2" width="5.75390625" style="1" customWidth="1"/>
    <col min="3" max="3" width="3.75390625" style="1" customWidth="1"/>
    <col min="4" max="4" width="0.12890625" style="1" customWidth="1"/>
    <col min="5" max="5" width="3.125" style="1" customWidth="1"/>
    <col min="6" max="6" width="0.2421875" style="1" hidden="1" customWidth="1"/>
    <col min="7" max="7" width="10.75390625" style="1" customWidth="1"/>
    <col min="8" max="8" width="11.75390625" style="1" customWidth="1"/>
    <col min="9" max="9" width="0.12890625" style="1" customWidth="1"/>
    <col min="10" max="10" width="3.75390625" style="1" customWidth="1"/>
    <col min="11" max="11" width="15.75390625" style="1" customWidth="1"/>
    <col min="12" max="12" width="3.75390625" style="1" customWidth="1"/>
    <col min="13" max="13" width="4.75390625" style="1" customWidth="1"/>
    <col min="14" max="14" width="1.12109375" style="1" customWidth="1"/>
    <col min="15" max="15" width="1.75390625" style="1" customWidth="1"/>
    <col min="16" max="16" width="0.2421875" style="1" customWidth="1"/>
    <col min="17" max="17" width="2.00390625" style="1" hidden="1" customWidth="1"/>
    <col min="18" max="18" width="13.625" style="1" customWidth="1"/>
    <col min="19" max="19" width="12.25390625" style="1" customWidth="1"/>
    <col min="20" max="20" width="12.75390625" style="1" bestFit="1" customWidth="1"/>
    <col min="21" max="22" width="12.25390625" style="1" customWidth="1"/>
    <col min="23" max="23" width="13.375" style="1" customWidth="1"/>
    <col min="24" max="24" width="13.625" style="1" customWidth="1"/>
    <col min="25" max="25" width="12.75390625" style="1" bestFit="1" customWidth="1"/>
    <col min="26" max="26" width="12.75390625" style="1" customWidth="1"/>
    <col min="27" max="16384" width="9.125" style="1" customWidth="1"/>
  </cols>
  <sheetData>
    <row r="1" spans="1:24" ht="19.5" customHeight="1" thickBo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35"/>
      <c r="X1" s="35"/>
    </row>
    <row r="2" spans="1:24" ht="14.25" customHeight="1" thickBot="1">
      <c r="A2" s="76"/>
      <c r="B2" s="76"/>
      <c r="C2" s="76"/>
      <c r="D2" s="76"/>
      <c r="E2" s="76"/>
      <c r="F2" s="76"/>
      <c r="G2" s="76"/>
      <c r="H2" s="7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4" t="s">
        <v>1</v>
      </c>
      <c r="W2" s="52"/>
      <c r="X2" s="52"/>
    </row>
    <row r="3" spans="1:24" ht="18" customHeight="1">
      <c r="A3" s="236" t="s">
        <v>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7" t="s">
        <v>181</v>
      </c>
      <c r="M3" s="237"/>
      <c r="N3" s="237"/>
      <c r="O3" s="235" t="s">
        <v>3</v>
      </c>
      <c r="P3" s="235"/>
      <c r="Q3" s="7"/>
      <c r="R3" s="7"/>
      <c r="S3" s="7"/>
      <c r="T3" s="7"/>
      <c r="U3" s="8" t="s">
        <v>4</v>
      </c>
      <c r="V3" s="15" t="s">
        <v>181</v>
      </c>
      <c r="W3" s="70"/>
      <c r="X3" s="70"/>
    </row>
    <row r="4" spans="1:24" ht="24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238" t="s">
        <v>182</v>
      </c>
      <c r="L4" s="238"/>
      <c r="M4" s="238"/>
      <c r="N4" s="238"/>
      <c r="O4" s="238"/>
      <c r="P4" s="238"/>
      <c r="Q4" s="238"/>
      <c r="R4" s="11"/>
      <c r="S4" s="11"/>
      <c r="T4" s="11"/>
      <c r="U4" s="8" t="s">
        <v>5</v>
      </c>
      <c r="V4" s="173">
        <v>41268</v>
      </c>
      <c r="W4" s="70"/>
      <c r="X4" s="70"/>
    </row>
    <row r="5" spans="1:24" ht="18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"/>
      <c r="V5" s="16"/>
      <c r="W5" s="71"/>
      <c r="X5" s="71"/>
    </row>
    <row r="6" spans="1:24" ht="18.75" customHeight="1">
      <c r="A6" s="239" t="s">
        <v>6</v>
      </c>
      <c r="B6" s="239"/>
      <c r="C6" s="239"/>
      <c r="D6" s="239"/>
      <c r="E6" s="239"/>
      <c r="F6" s="240" t="s">
        <v>67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19"/>
      <c r="T6" s="19"/>
      <c r="U6" s="23" t="s">
        <v>7</v>
      </c>
      <c r="V6" s="17">
        <v>79546239</v>
      </c>
      <c r="W6" s="71"/>
      <c r="X6" s="71"/>
    </row>
    <row r="7" spans="1:24" ht="15.75" customHeight="1">
      <c r="A7" s="239" t="s">
        <v>8</v>
      </c>
      <c r="B7" s="239"/>
      <c r="C7" s="239"/>
      <c r="D7" s="239"/>
      <c r="E7" s="239"/>
      <c r="F7" s="239"/>
      <c r="G7" s="239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0"/>
      <c r="U7" s="21" t="s">
        <v>9</v>
      </c>
      <c r="V7" s="17"/>
      <c r="W7" s="71"/>
      <c r="X7" s="71"/>
    </row>
    <row r="8" spans="1:24" ht="15.75" customHeight="1">
      <c r="A8" s="239" t="s">
        <v>10</v>
      </c>
      <c r="B8" s="239"/>
      <c r="C8" s="239"/>
      <c r="D8" s="239"/>
      <c r="E8" s="239"/>
      <c r="F8" s="23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2"/>
      <c r="V8" s="17"/>
      <c r="W8" s="71"/>
      <c r="X8" s="71"/>
    </row>
    <row r="9" spans="1:24" ht="13.5" customHeight="1" thickBot="1">
      <c r="A9" s="239" t="s">
        <v>11</v>
      </c>
      <c r="B9" s="239"/>
      <c r="C9" s="239"/>
      <c r="D9" s="239"/>
      <c r="E9" s="239"/>
      <c r="F9" s="239"/>
      <c r="G9" s="239"/>
      <c r="H9" s="239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4" t="s">
        <v>12</v>
      </c>
      <c r="V9" s="18" t="s">
        <v>13</v>
      </c>
      <c r="W9" s="70"/>
      <c r="X9" s="70"/>
    </row>
    <row r="10" spans="1:24" ht="8.25" customHeight="1" hidden="1">
      <c r="A10" s="10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6.5" customHeight="1" thickBot="1">
      <c r="A11" s="242" t="s">
        <v>14</v>
      </c>
      <c r="B11" s="242"/>
      <c r="C11" s="242"/>
      <c r="D11" s="11"/>
      <c r="E11" s="11"/>
      <c r="F11" s="11"/>
      <c r="G11" s="243" t="s">
        <v>183</v>
      </c>
      <c r="H11" s="243"/>
      <c r="I11" s="243"/>
      <c r="J11" s="243"/>
      <c r="K11" s="243"/>
      <c r="L11" s="243"/>
      <c r="M11" s="243"/>
      <c r="N11" s="243"/>
      <c r="O11" s="243"/>
      <c r="P11" s="243"/>
      <c r="Q11" s="11"/>
      <c r="R11" s="11"/>
      <c r="S11" s="81"/>
      <c r="T11" s="11"/>
      <c r="U11" s="11"/>
      <c r="V11" s="11"/>
      <c r="W11" s="11"/>
      <c r="X11" s="11"/>
    </row>
    <row r="12" spans="1:24" ht="6.75" customHeight="1" hidden="1" thickBot="1">
      <c r="A12" s="244" t="s">
        <v>68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36"/>
      <c r="X12" s="36"/>
    </row>
    <row r="13" spans="1:24" ht="18" customHeight="1">
      <c r="A13" s="245" t="s">
        <v>15</v>
      </c>
      <c r="B13" s="246"/>
      <c r="C13" s="246"/>
      <c r="D13" s="246"/>
      <c r="E13" s="246"/>
      <c r="F13" s="247"/>
      <c r="G13" s="251" t="s">
        <v>16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53" t="s">
        <v>88</v>
      </c>
      <c r="S13" s="255" t="s">
        <v>17</v>
      </c>
      <c r="T13" s="255"/>
      <c r="U13" s="255"/>
      <c r="V13" s="255"/>
      <c r="W13" s="253" t="s">
        <v>163</v>
      </c>
      <c r="X13" s="256" t="s">
        <v>414</v>
      </c>
    </row>
    <row r="14" spans="1:24" ht="16.5" customHeight="1" thickBot="1">
      <c r="A14" s="248"/>
      <c r="B14" s="249"/>
      <c r="C14" s="249"/>
      <c r="D14" s="249"/>
      <c r="E14" s="249"/>
      <c r="F14" s="250"/>
      <c r="G14" s="252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54"/>
      <c r="S14" s="143" t="s">
        <v>18</v>
      </c>
      <c r="T14" s="26" t="s">
        <v>19</v>
      </c>
      <c r="U14" s="27" t="s">
        <v>20</v>
      </c>
      <c r="V14" s="27" t="s">
        <v>21</v>
      </c>
      <c r="W14" s="254"/>
      <c r="X14" s="257"/>
    </row>
    <row r="15" spans="1:24" ht="15.75" customHeight="1" thickBot="1">
      <c r="A15" s="258" t="s">
        <v>22</v>
      </c>
      <c r="B15" s="259"/>
      <c r="C15" s="259"/>
      <c r="D15" s="259"/>
      <c r="E15" s="259"/>
      <c r="F15" s="260"/>
      <c r="G15" s="261" t="s">
        <v>23</v>
      </c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162" t="s">
        <v>24</v>
      </c>
      <c r="S15" s="163" t="s">
        <v>25</v>
      </c>
      <c r="T15" s="133" t="s">
        <v>26</v>
      </c>
      <c r="U15" s="134" t="s">
        <v>27</v>
      </c>
      <c r="V15" s="134" t="s">
        <v>28</v>
      </c>
      <c r="W15" s="159" t="s">
        <v>82</v>
      </c>
      <c r="X15" s="160" t="s">
        <v>83</v>
      </c>
    </row>
    <row r="16" spans="1:26" s="5" customFormat="1" ht="16.5" customHeight="1">
      <c r="A16" s="262" t="s">
        <v>106</v>
      </c>
      <c r="B16" s="263"/>
      <c r="C16" s="263"/>
      <c r="D16" s="263"/>
      <c r="E16" s="263"/>
      <c r="F16" s="264"/>
      <c r="G16" s="265" t="s">
        <v>29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45">
        <f>R17+R25+R51+R57+R63+R90+R110+R114+R140+R176+R224+R262+R268+R324+R336+R352+R363+R378+R151+R206+R217+R122</f>
        <v>30784938.490000006</v>
      </c>
      <c r="S16" s="161">
        <f aca="true" t="shared" si="0" ref="S16:X16">S17+S25+S51+S57+S63+S90+S110+S114+S140+S176+S224+S262+S268+S324+S336+S352+S363+S378+S151+S206+S217+S122</f>
        <v>7294471.28</v>
      </c>
      <c r="T16" s="164">
        <f t="shared" si="0"/>
        <v>10219863.249999998</v>
      </c>
      <c r="U16" s="164">
        <f t="shared" si="0"/>
        <v>6996338.46</v>
      </c>
      <c r="V16" s="135">
        <f t="shared" si="0"/>
        <v>6123632.8900000015</v>
      </c>
      <c r="W16" s="45">
        <f t="shared" si="0"/>
        <v>21645392</v>
      </c>
      <c r="X16" s="95">
        <f t="shared" si="0"/>
        <v>22709692</v>
      </c>
      <c r="Y16" s="28">
        <f>SUM(S16:V16)</f>
        <v>30634305.88</v>
      </c>
      <c r="Z16" s="28">
        <f>R16-S16-T16-U16-V16</f>
        <v>150632.610000005</v>
      </c>
    </row>
    <row r="17" spans="1:26" s="4" customFormat="1" ht="24.75" customHeight="1">
      <c r="A17" s="201" t="s">
        <v>107</v>
      </c>
      <c r="B17" s="202"/>
      <c r="C17" s="202"/>
      <c r="D17" s="202"/>
      <c r="E17" s="202"/>
      <c r="F17" s="185"/>
      <c r="G17" s="182" t="s">
        <v>30</v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34">
        <f>R18</f>
        <v>1266478.0300000003</v>
      </c>
      <c r="S17" s="53">
        <f aca="true" t="shared" si="1" ref="S17:X21">S18</f>
        <v>549000</v>
      </c>
      <c r="T17" s="29">
        <f t="shared" si="1"/>
        <v>281000</v>
      </c>
      <c r="U17" s="29">
        <f t="shared" si="1"/>
        <v>169000</v>
      </c>
      <c r="V17" s="53">
        <f t="shared" si="1"/>
        <v>267478.03</v>
      </c>
      <c r="W17" s="34">
        <f t="shared" si="1"/>
        <v>1096800</v>
      </c>
      <c r="X17" s="96">
        <f t="shared" si="1"/>
        <v>1123000</v>
      </c>
      <c r="Y17" s="28">
        <f>SUM(S17:V17)</f>
        <v>1266478.03</v>
      </c>
      <c r="Z17" s="28">
        <f>R17-S17-T17-U17-V17</f>
        <v>0</v>
      </c>
    </row>
    <row r="18" spans="1:26" s="43" customFormat="1" ht="23.25" customHeight="1">
      <c r="A18" s="186" t="s">
        <v>108</v>
      </c>
      <c r="B18" s="181"/>
      <c r="C18" s="181"/>
      <c r="D18" s="181"/>
      <c r="E18" s="181"/>
      <c r="F18" s="41"/>
      <c r="G18" s="184" t="s">
        <v>84</v>
      </c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46">
        <f>R19</f>
        <v>1266478.0300000003</v>
      </c>
      <c r="S18" s="75">
        <f t="shared" si="1"/>
        <v>549000</v>
      </c>
      <c r="T18" s="44">
        <f t="shared" si="1"/>
        <v>281000</v>
      </c>
      <c r="U18" s="44">
        <f t="shared" si="1"/>
        <v>169000</v>
      </c>
      <c r="V18" s="75">
        <f t="shared" si="1"/>
        <v>267478.03</v>
      </c>
      <c r="W18" s="46">
        <f t="shared" si="1"/>
        <v>1096800</v>
      </c>
      <c r="X18" s="97">
        <f t="shared" si="1"/>
        <v>1123000</v>
      </c>
      <c r="Y18" s="42"/>
      <c r="Z18" s="28">
        <f>R18-S18-T18-U18-V18</f>
        <v>0</v>
      </c>
    </row>
    <row r="19" spans="1:26" s="3" customFormat="1" ht="12.75">
      <c r="A19" s="198" t="s">
        <v>109</v>
      </c>
      <c r="B19" s="199"/>
      <c r="C19" s="199"/>
      <c r="D19" s="199"/>
      <c r="E19" s="199"/>
      <c r="F19" s="200"/>
      <c r="G19" s="220" t="s">
        <v>31</v>
      </c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47">
        <f>R20</f>
        <v>1266478.0300000003</v>
      </c>
      <c r="S19" s="77">
        <f t="shared" si="1"/>
        <v>549000</v>
      </c>
      <c r="T19" s="30">
        <f t="shared" si="1"/>
        <v>281000</v>
      </c>
      <c r="U19" s="30">
        <f t="shared" si="1"/>
        <v>169000</v>
      </c>
      <c r="V19" s="77">
        <f t="shared" si="1"/>
        <v>267478.03</v>
      </c>
      <c r="W19" s="47">
        <f t="shared" si="1"/>
        <v>1096800</v>
      </c>
      <c r="X19" s="98">
        <f t="shared" si="1"/>
        <v>1123000</v>
      </c>
      <c r="Y19" s="28">
        <f aca="true" t="shared" si="2" ref="Y19:Y25">SUM(S19:V19)</f>
        <v>1266478.03</v>
      </c>
      <c r="Z19" s="28">
        <f>R19-S19-T19-U19-V19</f>
        <v>0</v>
      </c>
    </row>
    <row r="20" spans="1:26" ht="48.75" customHeight="1">
      <c r="A20" s="192" t="s">
        <v>206</v>
      </c>
      <c r="B20" s="193"/>
      <c r="C20" s="193"/>
      <c r="D20" s="193"/>
      <c r="E20" s="193"/>
      <c r="F20" s="194"/>
      <c r="G20" s="216" t="s">
        <v>207</v>
      </c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48">
        <f>R21</f>
        <v>1266478.0300000003</v>
      </c>
      <c r="S20" s="54">
        <f t="shared" si="1"/>
        <v>549000</v>
      </c>
      <c r="T20" s="31">
        <f t="shared" si="1"/>
        <v>281000</v>
      </c>
      <c r="U20" s="31">
        <f t="shared" si="1"/>
        <v>169000</v>
      </c>
      <c r="V20" s="54">
        <f t="shared" si="1"/>
        <v>267478.03</v>
      </c>
      <c r="W20" s="48">
        <f t="shared" si="1"/>
        <v>1096800</v>
      </c>
      <c r="X20" s="99">
        <f t="shared" si="1"/>
        <v>1123000</v>
      </c>
      <c r="Y20" s="28">
        <f t="shared" si="2"/>
        <v>1266478.03</v>
      </c>
      <c r="Z20" s="28">
        <f aca="true" t="shared" si="3" ref="Z20:Z108">R20-S20-T20-U20-V20</f>
        <v>0</v>
      </c>
    </row>
    <row r="21" spans="1:26" ht="24" customHeight="1">
      <c r="A21" s="192" t="s">
        <v>208</v>
      </c>
      <c r="B21" s="193"/>
      <c r="C21" s="193"/>
      <c r="D21" s="193"/>
      <c r="E21" s="193"/>
      <c r="F21" s="194"/>
      <c r="G21" s="216" t="s">
        <v>209</v>
      </c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48">
        <f>R22</f>
        <v>1266478.0300000003</v>
      </c>
      <c r="S21" s="54">
        <f t="shared" si="1"/>
        <v>549000</v>
      </c>
      <c r="T21" s="31">
        <f t="shared" si="1"/>
        <v>281000</v>
      </c>
      <c r="U21" s="31">
        <f t="shared" si="1"/>
        <v>169000</v>
      </c>
      <c r="V21" s="54">
        <f t="shared" si="1"/>
        <v>267478.03</v>
      </c>
      <c r="W21" s="48">
        <f t="shared" si="1"/>
        <v>1096800</v>
      </c>
      <c r="X21" s="99">
        <f t="shared" si="1"/>
        <v>1123000</v>
      </c>
      <c r="Y21" s="28">
        <f t="shared" si="2"/>
        <v>1266478.03</v>
      </c>
      <c r="Z21" s="28">
        <f>R21-S21-T21-U21-V21</f>
        <v>0</v>
      </c>
    </row>
    <row r="22" spans="1:26" ht="12.75">
      <c r="A22" s="192" t="s">
        <v>211</v>
      </c>
      <c r="B22" s="193"/>
      <c r="C22" s="193"/>
      <c r="D22" s="193"/>
      <c r="E22" s="193"/>
      <c r="F22" s="194"/>
      <c r="G22" s="216" t="s">
        <v>212</v>
      </c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48">
        <f>R23+R24</f>
        <v>1266478.0300000003</v>
      </c>
      <c r="S22" s="54">
        <f aca="true" t="shared" si="4" ref="S22:X22">S23+S24</f>
        <v>549000</v>
      </c>
      <c r="T22" s="31">
        <f t="shared" si="4"/>
        <v>281000</v>
      </c>
      <c r="U22" s="31">
        <f t="shared" si="4"/>
        <v>169000</v>
      </c>
      <c r="V22" s="54">
        <f t="shared" si="4"/>
        <v>267478.03</v>
      </c>
      <c r="W22" s="48">
        <f t="shared" si="4"/>
        <v>1096800</v>
      </c>
      <c r="X22" s="99">
        <f t="shared" si="4"/>
        <v>1123000</v>
      </c>
      <c r="Y22" s="28">
        <f>SUM(S22:V22)</f>
        <v>1266478.03</v>
      </c>
      <c r="Z22" s="28">
        <f>R22-S22-T22-U22-V22</f>
        <v>0</v>
      </c>
    </row>
    <row r="23" spans="1:26" ht="12.75" hidden="1">
      <c r="A23" s="192" t="s">
        <v>210</v>
      </c>
      <c r="B23" s="193"/>
      <c r="C23" s="193"/>
      <c r="D23" s="193"/>
      <c r="E23" s="193"/>
      <c r="F23" s="194"/>
      <c r="G23" s="216" t="s">
        <v>33</v>
      </c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49">
        <f>SUM(S23:V23)</f>
        <v>1056702.3900000001</v>
      </c>
      <c r="S23" s="85">
        <v>422000</v>
      </c>
      <c r="T23" s="86">
        <f>139000+100000</f>
        <v>239000</v>
      </c>
      <c r="U23" s="86">
        <v>139000</v>
      </c>
      <c r="V23" s="85">
        <f>146100+24900+13000+54000-253.59+18955.98</f>
        <v>256702.39</v>
      </c>
      <c r="W23" s="105">
        <v>877400</v>
      </c>
      <c r="X23" s="102">
        <v>898400</v>
      </c>
      <c r="Y23" s="28">
        <f t="shared" si="2"/>
        <v>1056702.3900000001</v>
      </c>
      <c r="Z23" s="28">
        <f t="shared" si="3"/>
        <v>0</v>
      </c>
    </row>
    <row r="24" spans="1:26" ht="12.75" hidden="1">
      <c r="A24" s="192" t="s">
        <v>447</v>
      </c>
      <c r="B24" s="193"/>
      <c r="C24" s="193"/>
      <c r="D24" s="193"/>
      <c r="E24" s="193"/>
      <c r="F24" s="194"/>
      <c r="G24" s="216" t="s">
        <v>34</v>
      </c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49">
        <f>SUM(S24:V24)</f>
        <v>209775.64</v>
      </c>
      <c r="S24" s="85">
        <v>127000</v>
      </c>
      <c r="T24" s="86">
        <v>42000</v>
      </c>
      <c r="U24" s="86">
        <v>30000</v>
      </c>
      <c r="V24" s="85">
        <f>12500-3657.87+1933.51</f>
        <v>10775.640000000001</v>
      </c>
      <c r="W24" s="105">
        <v>219400</v>
      </c>
      <c r="X24" s="102">
        <v>224600</v>
      </c>
      <c r="Y24" s="28">
        <f t="shared" si="2"/>
        <v>209775.64</v>
      </c>
      <c r="Z24" s="28">
        <f t="shared" si="3"/>
        <v>0</v>
      </c>
    </row>
    <row r="25" spans="1:26" s="4" customFormat="1" ht="35.25" customHeight="1">
      <c r="A25" s="201" t="s">
        <v>110</v>
      </c>
      <c r="B25" s="202"/>
      <c r="C25" s="202"/>
      <c r="D25" s="202"/>
      <c r="E25" s="202"/>
      <c r="F25" s="185"/>
      <c r="G25" s="182" t="s">
        <v>35</v>
      </c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34">
        <f>R27</f>
        <v>8087080.23</v>
      </c>
      <c r="S25" s="53">
        <f aca="true" t="shared" si="5" ref="S25:X25">S27</f>
        <v>2614908.71</v>
      </c>
      <c r="T25" s="29">
        <f t="shared" si="5"/>
        <v>1900977.6</v>
      </c>
      <c r="U25" s="29">
        <f t="shared" si="5"/>
        <v>1837503.3</v>
      </c>
      <c r="V25" s="53">
        <f t="shared" si="5"/>
        <v>1733690.6199999996</v>
      </c>
      <c r="W25" s="34">
        <f t="shared" si="5"/>
        <v>7380192</v>
      </c>
      <c r="X25" s="96">
        <f t="shared" si="5"/>
        <v>7557092</v>
      </c>
      <c r="Y25" s="28">
        <f t="shared" si="2"/>
        <v>8087080.23</v>
      </c>
      <c r="Z25" s="28">
        <f t="shared" si="3"/>
        <v>0</v>
      </c>
    </row>
    <row r="26" spans="1:26" s="43" customFormat="1" ht="24" customHeight="1">
      <c r="A26" s="186" t="s">
        <v>111</v>
      </c>
      <c r="B26" s="181"/>
      <c r="C26" s="181"/>
      <c r="D26" s="181"/>
      <c r="E26" s="181"/>
      <c r="F26" s="41"/>
      <c r="G26" s="184" t="s">
        <v>84</v>
      </c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46">
        <f>R27</f>
        <v>8087080.23</v>
      </c>
      <c r="S26" s="75">
        <f aca="true" t="shared" si="6" ref="S26:X26">S27</f>
        <v>2614908.71</v>
      </c>
      <c r="T26" s="44">
        <f t="shared" si="6"/>
        <v>1900977.6</v>
      </c>
      <c r="U26" s="44">
        <f t="shared" si="6"/>
        <v>1837503.3</v>
      </c>
      <c r="V26" s="75">
        <f t="shared" si="6"/>
        <v>1733690.6199999996</v>
      </c>
      <c r="W26" s="46">
        <f t="shared" si="6"/>
        <v>7380192</v>
      </c>
      <c r="X26" s="97">
        <f t="shared" si="6"/>
        <v>7557092</v>
      </c>
      <c r="Y26" s="42"/>
      <c r="Z26" s="28">
        <f t="shared" si="3"/>
        <v>0</v>
      </c>
    </row>
    <row r="27" spans="1:26" s="3" customFormat="1" ht="16.5" customHeight="1">
      <c r="A27" s="198" t="s">
        <v>112</v>
      </c>
      <c r="B27" s="199"/>
      <c r="C27" s="199"/>
      <c r="D27" s="199"/>
      <c r="E27" s="199"/>
      <c r="F27" s="200"/>
      <c r="G27" s="220" t="s">
        <v>36</v>
      </c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47">
        <f>R28+R35+R47</f>
        <v>8087080.23</v>
      </c>
      <c r="S27" s="77">
        <f aca="true" t="shared" si="7" ref="S27:X27">S28+S35+S47</f>
        <v>2614908.71</v>
      </c>
      <c r="T27" s="30">
        <f t="shared" si="7"/>
        <v>1900977.6</v>
      </c>
      <c r="U27" s="30">
        <f t="shared" si="7"/>
        <v>1837503.3</v>
      </c>
      <c r="V27" s="77">
        <f t="shared" si="7"/>
        <v>1733690.6199999996</v>
      </c>
      <c r="W27" s="47">
        <f t="shared" si="7"/>
        <v>7380192</v>
      </c>
      <c r="X27" s="98">
        <f t="shared" si="7"/>
        <v>7557092</v>
      </c>
      <c r="Y27" s="28">
        <f>SUM(S27:V27)</f>
        <v>8087080.23</v>
      </c>
      <c r="Z27" s="28">
        <f t="shared" si="3"/>
        <v>0</v>
      </c>
    </row>
    <row r="28" spans="1:26" ht="48.75" customHeight="1">
      <c r="A28" s="192" t="s">
        <v>213</v>
      </c>
      <c r="B28" s="193"/>
      <c r="C28" s="193"/>
      <c r="D28" s="193"/>
      <c r="E28" s="193"/>
      <c r="F28" s="194"/>
      <c r="G28" s="216" t="s">
        <v>207</v>
      </c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48">
        <f>R29</f>
        <v>7748404.11</v>
      </c>
      <c r="S28" s="54">
        <f aca="true" t="shared" si="8" ref="S28:X28">S29</f>
        <v>2505000</v>
      </c>
      <c r="T28" s="31">
        <f t="shared" si="8"/>
        <v>1791244.6</v>
      </c>
      <c r="U28" s="31">
        <f t="shared" si="8"/>
        <v>1742805.3</v>
      </c>
      <c r="V28" s="54">
        <f t="shared" si="8"/>
        <v>1709354.2099999997</v>
      </c>
      <c r="W28" s="48">
        <f t="shared" si="8"/>
        <v>6942900</v>
      </c>
      <c r="X28" s="99">
        <f t="shared" si="8"/>
        <v>7119800</v>
      </c>
      <c r="Y28" s="28">
        <f>SUM(S28:V28)</f>
        <v>7748404.109999999</v>
      </c>
      <c r="Z28" s="28">
        <f>R28-S28-T28-U28-V28</f>
        <v>0</v>
      </c>
    </row>
    <row r="29" spans="1:26" ht="24" customHeight="1">
      <c r="A29" s="192" t="s">
        <v>214</v>
      </c>
      <c r="B29" s="193"/>
      <c r="C29" s="193"/>
      <c r="D29" s="193"/>
      <c r="E29" s="193"/>
      <c r="F29" s="194"/>
      <c r="G29" s="216" t="s">
        <v>209</v>
      </c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48">
        <f>R30+R33</f>
        <v>7748404.11</v>
      </c>
      <c r="S29" s="54">
        <f aca="true" t="shared" si="9" ref="S29:X29">S30+S33</f>
        <v>2505000</v>
      </c>
      <c r="T29" s="31">
        <f t="shared" si="9"/>
        <v>1791244.6</v>
      </c>
      <c r="U29" s="31">
        <f t="shared" si="9"/>
        <v>1742805.3</v>
      </c>
      <c r="V29" s="54">
        <f t="shared" si="9"/>
        <v>1709354.2099999997</v>
      </c>
      <c r="W29" s="48">
        <f t="shared" si="9"/>
        <v>6942900</v>
      </c>
      <c r="X29" s="99">
        <f t="shared" si="9"/>
        <v>7119800</v>
      </c>
      <c r="Y29" s="28">
        <f>SUM(S29:V29)</f>
        <v>7748404.109999999</v>
      </c>
      <c r="Z29" s="28">
        <f>R29-S29-T29-U29-V29</f>
        <v>0</v>
      </c>
    </row>
    <row r="30" spans="1:26" ht="12.75">
      <c r="A30" s="192" t="s">
        <v>215</v>
      </c>
      <c r="B30" s="193"/>
      <c r="C30" s="193"/>
      <c r="D30" s="193"/>
      <c r="E30" s="193"/>
      <c r="F30" s="194"/>
      <c r="G30" s="216" t="s">
        <v>212</v>
      </c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48">
        <f>R31+R32</f>
        <v>7746604.11</v>
      </c>
      <c r="S30" s="54">
        <f aca="true" t="shared" si="10" ref="S30:X30">S31+S32</f>
        <v>2505000</v>
      </c>
      <c r="T30" s="31">
        <f t="shared" si="10"/>
        <v>1791244.6</v>
      </c>
      <c r="U30" s="31">
        <f t="shared" si="10"/>
        <v>1741005.3</v>
      </c>
      <c r="V30" s="54">
        <f t="shared" si="10"/>
        <v>1709354.2099999997</v>
      </c>
      <c r="W30" s="48">
        <f t="shared" si="10"/>
        <v>6937900</v>
      </c>
      <c r="X30" s="99">
        <f t="shared" si="10"/>
        <v>7114800</v>
      </c>
      <c r="Y30" s="28">
        <f>SUM(S30:V30)</f>
        <v>7746604.109999999</v>
      </c>
      <c r="Z30" s="28">
        <f t="shared" si="3"/>
        <v>0</v>
      </c>
    </row>
    <row r="31" spans="1:26" ht="12.75" hidden="1">
      <c r="A31" s="192" t="s">
        <v>216</v>
      </c>
      <c r="B31" s="193"/>
      <c r="C31" s="193"/>
      <c r="D31" s="193"/>
      <c r="E31" s="193"/>
      <c r="F31" s="194"/>
      <c r="G31" s="216" t="s">
        <v>33</v>
      </c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49">
        <f aca="true" t="shared" si="11" ref="R31:R46">SUM(S31:V31)</f>
        <v>6139125.29</v>
      </c>
      <c r="S31" s="85">
        <v>1925000</v>
      </c>
      <c r="T31" s="86">
        <f>1175000+200000+61244.6</f>
        <v>1436244.6</v>
      </c>
      <c r="U31" s="86">
        <f>1253000+113005.3</f>
        <v>1366005.3</v>
      </c>
      <c r="V31" s="85">
        <f>861400-61244.6+100000+198656+200000+26462.29+71804.94-101439.35+110583.96+42268.67-504.6-36111.92</f>
        <v>1411875.3899999997</v>
      </c>
      <c r="W31" s="105">
        <v>5420200</v>
      </c>
      <c r="X31" s="102">
        <v>5558400</v>
      </c>
      <c r="Y31" s="28">
        <f>SUM(S31:X31)</f>
        <v>17117725.29</v>
      </c>
      <c r="Z31" s="28">
        <f t="shared" si="3"/>
        <v>0</v>
      </c>
    </row>
    <row r="32" spans="1:26" ht="12.75" hidden="1">
      <c r="A32" s="192" t="s">
        <v>217</v>
      </c>
      <c r="B32" s="193"/>
      <c r="C32" s="193"/>
      <c r="D32" s="193"/>
      <c r="E32" s="193"/>
      <c r="F32" s="194"/>
      <c r="G32" s="216" t="s">
        <v>34</v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49">
        <f>SUM(S32:V32)</f>
        <v>1607478.82</v>
      </c>
      <c r="S32" s="85">
        <f>580000</f>
        <v>580000</v>
      </c>
      <c r="T32" s="86">
        <f>355000</f>
        <v>355000</v>
      </c>
      <c r="U32" s="86">
        <f>375000</f>
        <v>375000</v>
      </c>
      <c r="V32" s="85">
        <f>150000+50000+80000+121100-121705.42+17579.64+504.6</f>
        <v>297478.82</v>
      </c>
      <c r="W32" s="105">
        <v>1517700</v>
      </c>
      <c r="X32" s="102">
        <v>1556400</v>
      </c>
      <c r="Y32" s="28">
        <f>SUM(S32:X32)</f>
        <v>4681578.82</v>
      </c>
      <c r="Z32" s="28">
        <f>R32-S32-T32-U32-V32</f>
        <v>0</v>
      </c>
    </row>
    <row r="33" spans="1:26" ht="12.75">
      <c r="A33" s="192" t="s">
        <v>218</v>
      </c>
      <c r="B33" s="193"/>
      <c r="C33" s="193"/>
      <c r="D33" s="193"/>
      <c r="E33" s="193"/>
      <c r="F33" s="194"/>
      <c r="G33" s="216" t="s">
        <v>219</v>
      </c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48">
        <f>R34</f>
        <v>1800</v>
      </c>
      <c r="S33" s="54">
        <f aca="true" t="shared" si="12" ref="S33:X33">S34</f>
        <v>0</v>
      </c>
      <c r="T33" s="31">
        <f t="shared" si="12"/>
        <v>0</v>
      </c>
      <c r="U33" s="31">
        <f t="shared" si="12"/>
        <v>1800</v>
      </c>
      <c r="V33" s="54">
        <f t="shared" si="12"/>
        <v>0</v>
      </c>
      <c r="W33" s="48">
        <f t="shared" si="12"/>
        <v>5000</v>
      </c>
      <c r="X33" s="99">
        <f t="shared" si="12"/>
        <v>5000</v>
      </c>
      <c r="Y33" s="28">
        <f>SUM(S33:V33)</f>
        <v>1800</v>
      </c>
      <c r="Z33" s="28">
        <f>R33-S33-T33-U33-V33</f>
        <v>0</v>
      </c>
    </row>
    <row r="34" spans="1:26" ht="12.75" hidden="1">
      <c r="A34" s="192" t="s">
        <v>220</v>
      </c>
      <c r="B34" s="193"/>
      <c r="C34" s="193"/>
      <c r="D34" s="193"/>
      <c r="E34" s="193"/>
      <c r="F34" s="194"/>
      <c r="G34" s="216" t="s">
        <v>37</v>
      </c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49">
        <f t="shared" si="11"/>
        <v>1800</v>
      </c>
      <c r="S34" s="85">
        <f>2500-2500</f>
        <v>0</v>
      </c>
      <c r="T34" s="86">
        <v>0</v>
      </c>
      <c r="U34" s="86">
        <f>2500-500-200</f>
        <v>1800</v>
      </c>
      <c r="V34" s="85">
        <v>0</v>
      </c>
      <c r="W34" s="105">
        <v>5000</v>
      </c>
      <c r="X34" s="102">
        <f>W34</f>
        <v>5000</v>
      </c>
      <c r="Y34" s="28">
        <f>SUM(S34:X34)</f>
        <v>11800</v>
      </c>
      <c r="Z34" s="28">
        <f t="shared" si="3"/>
        <v>0</v>
      </c>
    </row>
    <row r="35" spans="1:26" ht="12.75">
      <c r="A35" s="192" t="s">
        <v>221</v>
      </c>
      <c r="B35" s="193"/>
      <c r="C35" s="193"/>
      <c r="D35" s="193"/>
      <c r="E35" s="193"/>
      <c r="F35" s="194"/>
      <c r="G35" s="216" t="s">
        <v>236</v>
      </c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48">
        <f>R36</f>
        <v>337384.12</v>
      </c>
      <c r="S35" s="54">
        <f aca="true" t="shared" si="13" ref="S35:X36">S36</f>
        <v>109585.70999999999</v>
      </c>
      <c r="T35" s="31">
        <f t="shared" si="13"/>
        <v>109410</v>
      </c>
      <c r="U35" s="31">
        <f t="shared" si="13"/>
        <v>94375</v>
      </c>
      <c r="V35" s="54">
        <f t="shared" si="13"/>
        <v>24013.41</v>
      </c>
      <c r="W35" s="48">
        <f t="shared" si="13"/>
        <v>436000</v>
      </c>
      <c r="X35" s="99">
        <f t="shared" si="13"/>
        <v>436000</v>
      </c>
      <c r="Y35" s="28">
        <f>SUM(S35:V35)</f>
        <v>337384.11999999994</v>
      </c>
      <c r="Z35" s="28">
        <f t="shared" si="3"/>
        <v>0</v>
      </c>
    </row>
    <row r="36" spans="1:26" ht="24" customHeight="1">
      <c r="A36" s="192" t="s">
        <v>222</v>
      </c>
      <c r="B36" s="193"/>
      <c r="C36" s="193"/>
      <c r="D36" s="193"/>
      <c r="E36" s="193"/>
      <c r="F36" s="194"/>
      <c r="G36" s="216" t="s">
        <v>190</v>
      </c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48">
        <f>R37</f>
        <v>337384.12</v>
      </c>
      <c r="S36" s="54">
        <f t="shared" si="13"/>
        <v>109585.70999999999</v>
      </c>
      <c r="T36" s="31">
        <f t="shared" si="13"/>
        <v>109410</v>
      </c>
      <c r="U36" s="31">
        <f t="shared" si="13"/>
        <v>94375</v>
      </c>
      <c r="V36" s="54">
        <f t="shared" si="13"/>
        <v>24013.41</v>
      </c>
      <c r="W36" s="48">
        <f t="shared" si="13"/>
        <v>436000</v>
      </c>
      <c r="X36" s="99">
        <f t="shared" si="13"/>
        <v>436000</v>
      </c>
      <c r="Y36" s="28">
        <f>SUM(S36:V36)</f>
        <v>337384.11999999994</v>
      </c>
      <c r="Z36" s="28">
        <f>R36-S36-T36-U36-V36</f>
        <v>0</v>
      </c>
    </row>
    <row r="37" spans="1:26" ht="24" customHeight="1">
      <c r="A37" s="192" t="s">
        <v>223</v>
      </c>
      <c r="B37" s="193"/>
      <c r="C37" s="193"/>
      <c r="D37" s="193"/>
      <c r="E37" s="193"/>
      <c r="F37" s="194"/>
      <c r="G37" s="216" t="s">
        <v>237</v>
      </c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48">
        <f>SUM(R38:R46)</f>
        <v>337384.12</v>
      </c>
      <c r="S37" s="54">
        <f aca="true" t="shared" si="14" ref="S37:X37">SUM(S38:S46)</f>
        <v>109585.70999999999</v>
      </c>
      <c r="T37" s="31">
        <f t="shared" si="14"/>
        <v>109410</v>
      </c>
      <c r="U37" s="31">
        <f t="shared" si="14"/>
        <v>94375</v>
      </c>
      <c r="V37" s="54">
        <f t="shared" si="14"/>
        <v>24013.41</v>
      </c>
      <c r="W37" s="48">
        <f t="shared" si="14"/>
        <v>436000</v>
      </c>
      <c r="X37" s="99">
        <f t="shared" si="14"/>
        <v>436000</v>
      </c>
      <c r="Y37" s="28">
        <f>SUM(S37:V37)</f>
        <v>337384.11999999994</v>
      </c>
      <c r="Z37" s="28">
        <f>R37-S37-T37-U37-V37</f>
        <v>0</v>
      </c>
    </row>
    <row r="38" spans="1:26" ht="12.75" hidden="1">
      <c r="A38" s="192" t="s">
        <v>228</v>
      </c>
      <c r="B38" s="193"/>
      <c r="C38" s="193"/>
      <c r="D38" s="193"/>
      <c r="E38" s="193"/>
      <c r="F38" s="194"/>
      <c r="G38" s="216" t="s">
        <v>38</v>
      </c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49">
        <f t="shared" si="11"/>
        <v>71420.41</v>
      </c>
      <c r="S38" s="85">
        <f>18250</f>
        <v>18250</v>
      </c>
      <c r="T38" s="86">
        <f>18250</f>
        <v>18250</v>
      </c>
      <c r="U38" s="86">
        <f>18250</f>
        <v>18250</v>
      </c>
      <c r="V38" s="85">
        <f>18250-4000+2420.41</f>
        <v>16670.41</v>
      </c>
      <c r="W38" s="105">
        <v>73000</v>
      </c>
      <c r="X38" s="102">
        <f aca="true" t="shared" si="15" ref="X38:X46">W38</f>
        <v>73000</v>
      </c>
      <c r="Y38" s="28">
        <f>SUM(S38:X38)</f>
        <v>217420.41</v>
      </c>
      <c r="Z38" s="28">
        <f t="shared" si="3"/>
        <v>0</v>
      </c>
    </row>
    <row r="39" spans="1:26" ht="12.75" hidden="1">
      <c r="A39" s="192" t="s">
        <v>229</v>
      </c>
      <c r="B39" s="193"/>
      <c r="C39" s="193"/>
      <c r="D39" s="193"/>
      <c r="E39" s="193"/>
      <c r="F39" s="194"/>
      <c r="G39" s="216" t="s">
        <v>39</v>
      </c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49">
        <f t="shared" si="11"/>
        <v>4080</v>
      </c>
      <c r="S39" s="85">
        <v>0</v>
      </c>
      <c r="T39" s="86">
        <v>0</v>
      </c>
      <c r="U39" s="86">
        <v>0</v>
      </c>
      <c r="V39" s="85">
        <f>4080</f>
        <v>4080</v>
      </c>
      <c r="W39" s="105">
        <v>0</v>
      </c>
      <c r="X39" s="102">
        <v>0</v>
      </c>
      <c r="Y39" s="28">
        <f>SUM(S39:V39)</f>
        <v>4080</v>
      </c>
      <c r="Z39" s="28">
        <f t="shared" si="3"/>
        <v>0</v>
      </c>
    </row>
    <row r="40" spans="1:26" ht="12.75" hidden="1">
      <c r="A40" s="192" t="s">
        <v>230</v>
      </c>
      <c r="B40" s="193"/>
      <c r="C40" s="193"/>
      <c r="D40" s="193"/>
      <c r="E40" s="193"/>
      <c r="F40" s="194"/>
      <c r="G40" s="216" t="s">
        <v>40</v>
      </c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49">
        <f t="shared" si="11"/>
        <v>0</v>
      </c>
      <c r="S40" s="85">
        <v>0</v>
      </c>
      <c r="T40" s="86">
        <v>0</v>
      </c>
      <c r="U40" s="86">
        <v>0</v>
      </c>
      <c r="V40" s="85">
        <v>0</v>
      </c>
      <c r="W40" s="105">
        <f>R40</f>
        <v>0</v>
      </c>
      <c r="X40" s="102">
        <f t="shared" si="15"/>
        <v>0</v>
      </c>
      <c r="Y40" s="28">
        <f aca="true" t="shared" si="16" ref="Y40:Y46">SUM(S40:X40)</f>
        <v>0</v>
      </c>
      <c r="Z40" s="28">
        <f t="shared" si="3"/>
        <v>0</v>
      </c>
    </row>
    <row r="41" spans="1:26" ht="12.75" hidden="1">
      <c r="A41" s="192" t="s">
        <v>231</v>
      </c>
      <c r="B41" s="193"/>
      <c r="C41" s="193"/>
      <c r="D41" s="193"/>
      <c r="E41" s="193"/>
      <c r="F41" s="194"/>
      <c r="G41" s="216" t="s">
        <v>41</v>
      </c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49">
        <f t="shared" si="11"/>
        <v>0</v>
      </c>
      <c r="S41" s="85">
        <v>0</v>
      </c>
      <c r="T41" s="86">
        <v>0</v>
      </c>
      <c r="U41" s="86">
        <v>0</v>
      </c>
      <c r="V41" s="85">
        <v>0</v>
      </c>
      <c r="W41" s="105">
        <f>R41</f>
        <v>0</v>
      </c>
      <c r="X41" s="102">
        <f t="shared" si="15"/>
        <v>0</v>
      </c>
      <c r="Y41" s="28">
        <f t="shared" si="16"/>
        <v>0</v>
      </c>
      <c r="Z41" s="28">
        <f t="shared" si="3"/>
        <v>0</v>
      </c>
    </row>
    <row r="42" spans="1:26" ht="12.75" hidden="1">
      <c r="A42" s="192" t="s">
        <v>232</v>
      </c>
      <c r="B42" s="193"/>
      <c r="C42" s="193"/>
      <c r="D42" s="193"/>
      <c r="E42" s="193"/>
      <c r="F42" s="194"/>
      <c r="G42" s="216" t="s">
        <v>42</v>
      </c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49">
        <f t="shared" si="11"/>
        <v>34335.71</v>
      </c>
      <c r="S42" s="85">
        <f>18000-1664.29</f>
        <v>16335.71</v>
      </c>
      <c r="T42" s="86">
        <f>16000</f>
        <v>16000</v>
      </c>
      <c r="U42" s="86">
        <f>13000-8000-3000</f>
        <v>2000</v>
      </c>
      <c r="V42" s="85">
        <f>16000-10000-330-4080-1590</f>
        <v>0</v>
      </c>
      <c r="W42" s="105">
        <v>63000</v>
      </c>
      <c r="X42" s="102">
        <f t="shared" si="15"/>
        <v>63000</v>
      </c>
      <c r="Y42" s="28">
        <f t="shared" si="16"/>
        <v>160335.71</v>
      </c>
      <c r="Z42" s="28">
        <f t="shared" si="3"/>
        <v>0</v>
      </c>
    </row>
    <row r="43" spans="1:26" ht="12.75" customHeight="1" hidden="1">
      <c r="A43" s="192" t="s">
        <v>233</v>
      </c>
      <c r="B43" s="193"/>
      <c r="C43" s="193"/>
      <c r="D43" s="193"/>
      <c r="E43" s="193"/>
      <c r="F43" s="194"/>
      <c r="G43" s="216" t="s">
        <v>81</v>
      </c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49">
        <f>SUM(S43:V43)</f>
        <v>0</v>
      </c>
      <c r="S43" s="85">
        <v>0</v>
      </c>
      <c r="T43" s="86">
        <v>0</v>
      </c>
      <c r="U43" s="86">
        <v>0</v>
      </c>
      <c r="V43" s="85">
        <v>0</v>
      </c>
      <c r="W43" s="105">
        <f>R43</f>
        <v>0</v>
      </c>
      <c r="X43" s="102">
        <f t="shared" si="15"/>
        <v>0</v>
      </c>
      <c r="Y43" s="28">
        <f t="shared" si="16"/>
        <v>0</v>
      </c>
      <c r="Z43" s="28">
        <f t="shared" si="3"/>
        <v>0</v>
      </c>
    </row>
    <row r="44" spans="1:26" ht="12.75" customHeight="1" hidden="1">
      <c r="A44" s="192" t="s">
        <v>415</v>
      </c>
      <c r="B44" s="193"/>
      <c r="C44" s="193"/>
      <c r="D44" s="193"/>
      <c r="E44" s="193"/>
      <c r="F44" s="194"/>
      <c r="G44" s="216" t="s">
        <v>46</v>
      </c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49">
        <f>SUM(S44:V44)</f>
        <v>1835</v>
      </c>
      <c r="S44" s="85">
        <v>285</v>
      </c>
      <c r="T44" s="86">
        <f>900+160+160</f>
        <v>1220</v>
      </c>
      <c r="U44" s="86">
        <v>0</v>
      </c>
      <c r="V44" s="85">
        <f>330</f>
        <v>330</v>
      </c>
      <c r="W44" s="105">
        <v>0</v>
      </c>
      <c r="X44" s="102">
        <v>0</v>
      </c>
      <c r="Y44" s="28">
        <f>SUM(S44:X44)</f>
        <v>1835</v>
      </c>
      <c r="Z44" s="28">
        <f>R44-S44-T44-U44-V44</f>
        <v>0</v>
      </c>
    </row>
    <row r="45" spans="1:26" ht="12.75" customHeight="1" hidden="1">
      <c r="A45" s="192" t="s">
        <v>234</v>
      </c>
      <c r="B45" s="193"/>
      <c r="C45" s="193"/>
      <c r="D45" s="193"/>
      <c r="E45" s="193"/>
      <c r="F45" s="194"/>
      <c r="G45" s="216" t="s">
        <v>43</v>
      </c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49">
        <f t="shared" si="11"/>
        <v>8183</v>
      </c>
      <c r="S45" s="85">
        <v>750</v>
      </c>
      <c r="T45" s="86">
        <v>4500</v>
      </c>
      <c r="U45" s="86">
        <v>0</v>
      </c>
      <c r="V45" s="85">
        <f>1400+893+640</f>
        <v>2933</v>
      </c>
      <c r="W45" s="105">
        <v>0</v>
      </c>
      <c r="X45" s="102">
        <f t="shared" si="15"/>
        <v>0</v>
      </c>
      <c r="Y45" s="28">
        <f t="shared" si="16"/>
        <v>8183</v>
      </c>
      <c r="Z45" s="28">
        <f t="shared" si="3"/>
        <v>0</v>
      </c>
    </row>
    <row r="46" spans="1:26" ht="12.75" hidden="1">
      <c r="A46" s="192" t="s">
        <v>235</v>
      </c>
      <c r="B46" s="193"/>
      <c r="C46" s="193"/>
      <c r="D46" s="193"/>
      <c r="E46" s="193"/>
      <c r="F46" s="194"/>
      <c r="G46" s="224" t="s">
        <v>70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49">
        <f t="shared" si="11"/>
        <v>217530</v>
      </c>
      <c r="S46" s="78">
        <f>75000-285-750</f>
        <v>73965</v>
      </c>
      <c r="T46" s="32">
        <f>75000-4500-900-160</f>
        <v>69440</v>
      </c>
      <c r="U46" s="32">
        <f>75000-875</f>
        <v>74125</v>
      </c>
      <c r="V46" s="78">
        <f>75000-160-40000-1400-6560-13440-12420.41-1019.59</f>
        <v>0</v>
      </c>
      <c r="W46" s="105">
        <v>300000</v>
      </c>
      <c r="X46" s="102">
        <f t="shared" si="15"/>
        <v>300000</v>
      </c>
      <c r="Y46" s="28">
        <f t="shared" si="16"/>
        <v>817530</v>
      </c>
      <c r="Z46" s="28">
        <f t="shared" si="3"/>
        <v>0</v>
      </c>
    </row>
    <row r="47" spans="1:26" ht="12.75" customHeight="1">
      <c r="A47" s="192" t="s">
        <v>224</v>
      </c>
      <c r="B47" s="193"/>
      <c r="C47" s="193"/>
      <c r="D47" s="193"/>
      <c r="E47" s="193"/>
      <c r="F47" s="194"/>
      <c r="G47" s="216" t="s">
        <v>238</v>
      </c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48">
        <f>R48</f>
        <v>1292</v>
      </c>
      <c r="S47" s="54">
        <f aca="true" t="shared" si="17" ref="S47:X49">S48</f>
        <v>323</v>
      </c>
      <c r="T47" s="31">
        <f t="shared" si="17"/>
        <v>323</v>
      </c>
      <c r="U47" s="31">
        <f t="shared" si="17"/>
        <v>323</v>
      </c>
      <c r="V47" s="54">
        <f t="shared" si="17"/>
        <v>323</v>
      </c>
      <c r="W47" s="48">
        <f t="shared" si="17"/>
        <v>1292</v>
      </c>
      <c r="X47" s="99">
        <f t="shared" si="17"/>
        <v>1292</v>
      </c>
      <c r="Y47" s="28">
        <f>SUM(S47:V47)</f>
        <v>1292</v>
      </c>
      <c r="Z47" s="28">
        <f>R47-S47-T47-U47-V47</f>
        <v>0</v>
      </c>
    </row>
    <row r="48" spans="1:26" ht="12.75" customHeight="1">
      <c r="A48" s="192" t="s">
        <v>225</v>
      </c>
      <c r="B48" s="193"/>
      <c r="C48" s="193"/>
      <c r="D48" s="193"/>
      <c r="E48" s="193"/>
      <c r="F48" s="194"/>
      <c r="G48" s="216" t="s">
        <v>239</v>
      </c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48">
        <f>R49</f>
        <v>1292</v>
      </c>
      <c r="S48" s="54">
        <f t="shared" si="17"/>
        <v>323</v>
      </c>
      <c r="T48" s="31">
        <f t="shared" si="17"/>
        <v>323</v>
      </c>
      <c r="U48" s="31">
        <f t="shared" si="17"/>
        <v>323</v>
      </c>
      <c r="V48" s="54">
        <f t="shared" si="17"/>
        <v>323</v>
      </c>
      <c r="W48" s="48">
        <f t="shared" si="17"/>
        <v>1292</v>
      </c>
      <c r="X48" s="99">
        <f t="shared" si="17"/>
        <v>1292</v>
      </c>
      <c r="Y48" s="28">
        <f>SUM(S48:V48)</f>
        <v>1292</v>
      </c>
      <c r="Z48" s="28">
        <f>R48-S48-T48-U48-V48</f>
        <v>0</v>
      </c>
    </row>
    <row r="49" spans="1:26" ht="12.75" customHeight="1">
      <c r="A49" s="192" t="s">
        <v>226</v>
      </c>
      <c r="B49" s="193"/>
      <c r="C49" s="193"/>
      <c r="D49" s="193"/>
      <c r="E49" s="193"/>
      <c r="F49" s="194"/>
      <c r="G49" s="216" t="s">
        <v>240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48">
        <f>R50</f>
        <v>1292</v>
      </c>
      <c r="S49" s="54">
        <f t="shared" si="17"/>
        <v>323</v>
      </c>
      <c r="T49" s="31">
        <f t="shared" si="17"/>
        <v>323</v>
      </c>
      <c r="U49" s="31">
        <f t="shared" si="17"/>
        <v>323</v>
      </c>
      <c r="V49" s="54">
        <f t="shared" si="17"/>
        <v>323</v>
      </c>
      <c r="W49" s="48">
        <f t="shared" si="17"/>
        <v>1292</v>
      </c>
      <c r="X49" s="99">
        <f t="shared" si="17"/>
        <v>1292</v>
      </c>
      <c r="Y49" s="28">
        <f>SUM(S49:V49)</f>
        <v>1292</v>
      </c>
      <c r="Z49" s="28">
        <f>R49-S49-T49-U49-V49</f>
        <v>0</v>
      </c>
    </row>
    <row r="50" spans="1:26" ht="12.75" customHeight="1" hidden="1">
      <c r="A50" s="192" t="s">
        <v>227</v>
      </c>
      <c r="B50" s="193"/>
      <c r="C50" s="193"/>
      <c r="D50" s="193"/>
      <c r="E50" s="193"/>
      <c r="F50" s="194"/>
      <c r="G50" s="216" t="s">
        <v>46</v>
      </c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49">
        <f>SUM(S50:V50)</f>
        <v>1292</v>
      </c>
      <c r="S50" s="85">
        <f>323</f>
        <v>323</v>
      </c>
      <c r="T50" s="86">
        <f>323</f>
        <v>323</v>
      </c>
      <c r="U50" s="86">
        <f>323</f>
        <v>323</v>
      </c>
      <c r="V50" s="85">
        <f>331-8</f>
        <v>323</v>
      </c>
      <c r="W50" s="105">
        <f>R50</f>
        <v>1292</v>
      </c>
      <c r="X50" s="102">
        <f>W50</f>
        <v>1292</v>
      </c>
      <c r="Y50" s="28">
        <f>SUM(S50:X50)</f>
        <v>3876</v>
      </c>
      <c r="Z50" s="28">
        <f>R50-S50-T50-U50-V50</f>
        <v>0</v>
      </c>
    </row>
    <row r="51" spans="1:26" s="4" customFormat="1" ht="17.25" customHeight="1" hidden="1">
      <c r="A51" s="267" t="s">
        <v>152</v>
      </c>
      <c r="B51" s="268"/>
      <c r="C51" s="268"/>
      <c r="D51" s="268"/>
      <c r="E51" s="268"/>
      <c r="F51" s="269"/>
      <c r="G51" s="270" t="s">
        <v>74</v>
      </c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34">
        <f>R52</f>
        <v>0</v>
      </c>
      <c r="S51" s="53">
        <f>S52</f>
        <v>0</v>
      </c>
      <c r="T51" s="29">
        <f>T52</f>
        <v>0</v>
      </c>
      <c r="U51" s="29">
        <f>U52</f>
        <v>0</v>
      </c>
      <c r="V51" s="53">
        <f>V52</f>
        <v>0</v>
      </c>
      <c r="W51" s="34"/>
      <c r="X51" s="96"/>
      <c r="Y51" s="28">
        <f aca="true" t="shared" si="18" ref="Y51:Y56">SUM(S51:V51)</f>
        <v>0</v>
      </c>
      <c r="Z51" s="28">
        <f t="shared" si="3"/>
        <v>0</v>
      </c>
    </row>
    <row r="52" spans="1:26" s="3" customFormat="1" ht="16.5" customHeight="1" hidden="1">
      <c r="A52" s="272" t="s">
        <v>153</v>
      </c>
      <c r="B52" s="273"/>
      <c r="C52" s="273"/>
      <c r="D52" s="273"/>
      <c r="E52" s="273"/>
      <c r="F52" s="274"/>
      <c r="G52" s="275" t="s">
        <v>75</v>
      </c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47">
        <f>R53+R55</f>
        <v>0</v>
      </c>
      <c r="S52" s="77">
        <f>S53+S55</f>
        <v>0</v>
      </c>
      <c r="T52" s="30">
        <f>T53+T55</f>
        <v>0</v>
      </c>
      <c r="U52" s="30">
        <f>U53+U55</f>
        <v>0</v>
      </c>
      <c r="V52" s="77">
        <f>V53+V55</f>
        <v>0</v>
      </c>
      <c r="W52" s="47"/>
      <c r="X52" s="98"/>
      <c r="Y52" s="28">
        <f t="shared" si="18"/>
        <v>0</v>
      </c>
      <c r="Z52" s="28">
        <f t="shared" si="3"/>
        <v>0</v>
      </c>
    </row>
    <row r="53" spans="1:26" ht="16.5" customHeight="1" hidden="1">
      <c r="A53" s="228" t="s">
        <v>154</v>
      </c>
      <c r="B53" s="229"/>
      <c r="C53" s="229"/>
      <c r="D53" s="229"/>
      <c r="E53" s="229"/>
      <c r="F53" s="230"/>
      <c r="G53" s="277" t="s">
        <v>32</v>
      </c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48">
        <f>R54</f>
        <v>0</v>
      </c>
      <c r="S53" s="54">
        <f>S54</f>
        <v>0</v>
      </c>
      <c r="T53" s="31">
        <f>T54</f>
        <v>0</v>
      </c>
      <c r="U53" s="31">
        <f>U54</f>
        <v>0</v>
      </c>
      <c r="V53" s="54">
        <f>V54</f>
        <v>0</v>
      </c>
      <c r="W53" s="48"/>
      <c r="X53" s="99"/>
      <c r="Y53" s="28">
        <f t="shared" si="18"/>
        <v>0</v>
      </c>
      <c r="Z53" s="28">
        <f t="shared" si="3"/>
        <v>0</v>
      </c>
    </row>
    <row r="54" spans="1:26" ht="16.5" customHeight="1" hidden="1">
      <c r="A54" s="228" t="s">
        <v>155</v>
      </c>
      <c r="B54" s="229"/>
      <c r="C54" s="229"/>
      <c r="D54" s="229"/>
      <c r="E54" s="229"/>
      <c r="F54" s="230"/>
      <c r="G54" s="279" t="s">
        <v>71</v>
      </c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49">
        <f>SUM(S54:V54)</f>
        <v>0</v>
      </c>
      <c r="S54" s="78"/>
      <c r="T54" s="32"/>
      <c r="U54" s="32"/>
      <c r="V54" s="78"/>
      <c r="W54" s="49"/>
      <c r="X54" s="101"/>
      <c r="Y54" s="28">
        <f t="shared" si="18"/>
        <v>0</v>
      </c>
      <c r="Z54" s="28">
        <f t="shared" si="3"/>
        <v>0</v>
      </c>
    </row>
    <row r="55" spans="1:26" ht="16.5" customHeight="1" hidden="1">
      <c r="A55" s="228" t="s">
        <v>157</v>
      </c>
      <c r="B55" s="229"/>
      <c r="C55" s="229"/>
      <c r="D55" s="229"/>
      <c r="E55" s="229"/>
      <c r="F55" s="230"/>
      <c r="G55" s="277" t="s">
        <v>32</v>
      </c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48">
        <f>R56</f>
        <v>0</v>
      </c>
      <c r="S55" s="54">
        <f>S56</f>
        <v>0</v>
      </c>
      <c r="T55" s="31">
        <f>T56</f>
        <v>0</v>
      </c>
      <c r="U55" s="31">
        <f>U56</f>
        <v>0</v>
      </c>
      <c r="V55" s="54">
        <f>V56</f>
        <v>0</v>
      </c>
      <c r="W55" s="48"/>
      <c r="X55" s="99"/>
      <c r="Y55" s="28">
        <f t="shared" si="18"/>
        <v>0</v>
      </c>
      <c r="Z55" s="28">
        <f t="shared" si="3"/>
        <v>0</v>
      </c>
    </row>
    <row r="56" spans="1:26" ht="16.5" customHeight="1" hidden="1">
      <c r="A56" s="228" t="s">
        <v>156</v>
      </c>
      <c r="B56" s="229"/>
      <c r="C56" s="229"/>
      <c r="D56" s="229"/>
      <c r="E56" s="229"/>
      <c r="F56" s="230"/>
      <c r="G56" s="279" t="s">
        <v>71</v>
      </c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49">
        <f>SUM(S56:V56)</f>
        <v>0</v>
      </c>
      <c r="S56" s="78"/>
      <c r="T56" s="32"/>
      <c r="U56" s="32"/>
      <c r="V56" s="78"/>
      <c r="W56" s="49"/>
      <c r="X56" s="101"/>
      <c r="Y56" s="28">
        <f t="shared" si="18"/>
        <v>0</v>
      </c>
      <c r="Z56" s="28">
        <f t="shared" si="3"/>
        <v>0</v>
      </c>
    </row>
    <row r="57" spans="1:26" s="4" customFormat="1" ht="12.75" customHeight="1" hidden="1">
      <c r="A57" s="201" t="s">
        <v>170</v>
      </c>
      <c r="B57" s="202"/>
      <c r="C57" s="202"/>
      <c r="D57" s="202"/>
      <c r="E57" s="202"/>
      <c r="F57" s="185"/>
      <c r="G57" s="182" t="s">
        <v>44</v>
      </c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34">
        <f>R59</f>
        <v>0</v>
      </c>
      <c r="S57" s="53">
        <f aca="true" t="shared" si="19" ref="S57:X57">S59</f>
        <v>0</v>
      </c>
      <c r="T57" s="29">
        <f t="shared" si="19"/>
        <v>0</v>
      </c>
      <c r="U57" s="29">
        <f t="shared" si="19"/>
        <v>0</v>
      </c>
      <c r="V57" s="53">
        <f t="shared" si="19"/>
        <v>0</v>
      </c>
      <c r="W57" s="34">
        <f t="shared" si="19"/>
        <v>0</v>
      </c>
      <c r="X57" s="96">
        <f t="shared" si="19"/>
        <v>0</v>
      </c>
      <c r="Y57" s="28">
        <f>SUM(S57:V57)</f>
        <v>0</v>
      </c>
      <c r="Z57" s="28">
        <f t="shared" si="3"/>
        <v>0</v>
      </c>
    </row>
    <row r="58" spans="1:26" s="3" customFormat="1" ht="12.75" customHeight="1" hidden="1">
      <c r="A58" s="186" t="s">
        <v>241</v>
      </c>
      <c r="B58" s="181"/>
      <c r="C58" s="181"/>
      <c r="D58" s="181"/>
      <c r="E58" s="181"/>
      <c r="F58" s="211"/>
      <c r="G58" s="184" t="s">
        <v>242</v>
      </c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46">
        <f>R59</f>
        <v>0</v>
      </c>
      <c r="S58" s="75">
        <f aca="true" t="shared" si="20" ref="S58:X61">S59</f>
        <v>0</v>
      </c>
      <c r="T58" s="44">
        <f t="shared" si="20"/>
        <v>0</v>
      </c>
      <c r="U58" s="44">
        <f t="shared" si="20"/>
        <v>0</v>
      </c>
      <c r="V58" s="75">
        <f t="shared" si="20"/>
        <v>0</v>
      </c>
      <c r="W58" s="46">
        <f t="shared" si="20"/>
        <v>0</v>
      </c>
      <c r="X58" s="97">
        <f t="shared" si="20"/>
        <v>0</v>
      </c>
      <c r="Y58" s="28">
        <f>SUM(S58:V58)</f>
        <v>0</v>
      </c>
      <c r="Z58" s="28">
        <f>R58-S58-T58-U58-V58</f>
        <v>0</v>
      </c>
    </row>
    <row r="59" spans="1:26" s="3" customFormat="1" ht="12.75" customHeight="1" hidden="1">
      <c r="A59" s="198" t="s">
        <v>171</v>
      </c>
      <c r="B59" s="199"/>
      <c r="C59" s="199"/>
      <c r="D59" s="199"/>
      <c r="E59" s="199"/>
      <c r="F59" s="200"/>
      <c r="G59" s="220" t="s">
        <v>45</v>
      </c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47">
        <f>R60</f>
        <v>0</v>
      </c>
      <c r="S59" s="77">
        <f t="shared" si="20"/>
        <v>0</v>
      </c>
      <c r="T59" s="30">
        <f t="shared" si="20"/>
        <v>0</v>
      </c>
      <c r="U59" s="30">
        <f t="shared" si="20"/>
        <v>0</v>
      </c>
      <c r="V59" s="77">
        <f t="shared" si="20"/>
        <v>0</v>
      </c>
      <c r="W59" s="47">
        <f t="shared" si="20"/>
        <v>0</v>
      </c>
      <c r="X59" s="98">
        <f t="shared" si="20"/>
        <v>0</v>
      </c>
      <c r="Y59" s="28">
        <f>SUM(S59:V59)</f>
        <v>0</v>
      </c>
      <c r="Z59" s="28">
        <f t="shared" si="3"/>
        <v>0</v>
      </c>
    </row>
    <row r="60" spans="1:26" ht="12.75" customHeight="1" hidden="1">
      <c r="A60" s="192" t="s">
        <v>243</v>
      </c>
      <c r="B60" s="193"/>
      <c r="C60" s="193"/>
      <c r="D60" s="193"/>
      <c r="E60" s="193"/>
      <c r="F60" s="194"/>
      <c r="G60" s="216" t="s">
        <v>238</v>
      </c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48">
        <f>R61</f>
        <v>0</v>
      </c>
      <c r="S60" s="54">
        <f t="shared" si="20"/>
        <v>0</v>
      </c>
      <c r="T60" s="31">
        <f t="shared" si="20"/>
        <v>0</v>
      </c>
      <c r="U60" s="31">
        <f t="shared" si="20"/>
        <v>0</v>
      </c>
      <c r="V60" s="54">
        <f t="shared" si="20"/>
        <v>0</v>
      </c>
      <c r="W60" s="48">
        <f t="shared" si="20"/>
        <v>0</v>
      </c>
      <c r="X60" s="99">
        <f t="shared" si="20"/>
        <v>0</v>
      </c>
      <c r="Y60" s="28">
        <f>SUM(S60:V60)</f>
        <v>0</v>
      </c>
      <c r="Z60" s="28">
        <f>R60-S60-T60-U60-V60</f>
        <v>0</v>
      </c>
    </row>
    <row r="61" spans="1:26" ht="12.75" customHeight="1" hidden="1">
      <c r="A61" s="192" t="s">
        <v>244</v>
      </c>
      <c r="B61" s="193"/>
      <c r="C61" s="193"/>
      <c r="D61" s="193"/>
      <c r="E61" s="193"/>
      <c r="F61" s="194"/>
      <c r="G61" s="216" t="s">
        <v>245</v>
      </c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48">
        <f>R62</f>
        <v>0</v>
      </c>
      <c r="S61" s="54">
        <f t="shared" si="20"/>
        <v>0</v>
      </c>
      <c r="T61" s="31">
        <f t="shared" si="20"/>
        <v>0</v>
      </c>
      <c r="U61" s="31">
        <f t="shared" si="20"/>
        <v>0</v>
      </c>
      <c r="V61" s="54">
        <f t="shared" si="20"/>
        <v>0</v>
      </c>
      <c r="W61" s="48">
        <f t="shared" si="20"/>
        <v>0</v>
      </c>
      <c r="X61" s="99">
        <f t="shared" si="20"/>
        <v>0</v>
      </c>
      <c r="Y61" s="28">
        <f>SUM(S61:V61)</f>
        <v>0</v>
      </c>
      <c r="Z61" s="28">
        <f t="shared" si="3"/>
        <v>0</v>
      </c>
    </row>
    <row r="62" spans="1:26" ht="12.75" customHeight="1" hidden="1">
      <c r="A62" s="192" t="s">
        <v>246</v>
      </c>
      <c r="B62" s="193"/>
      <c r="C62" s="193"/>
      <c r="D62" s="193"/>
      <c r="E62" s="193"/>
      <c r="F62" s="194"/>
      <c r="G62" s="216" t="s">
        <v>71</v>
      </c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49">
        <f>SUM(S62:V62)</f>
        <v>0</v>
      </c>
      <c r="S62" s="85">
        <f>14575-14575</f>
        <v>0</v>
      </c>
      <c r="T62" s="86">
        <f>14575-7425-7150</f>
        <v>0</v>
      </c>
      <c r="U62" s="86">
        <f>14575-14575</f>
        <v>0</v>
      </c>
      <c r="V62" s="85">
        <f>14575-14575</f>
        <v>0</v>
      </c>
      <c r="W62" s="105">
        <v>0</v>
      </c>
      <c r="X62" s="102">
        <v>0</v>
      </c>
      <c r="Y62" s="28">
        <f>SUM(S62:X62)</f>
        <v>0</v>
      </c>
      <c r="Z62" s="28">
        <f t="shared" si="3"/>
        <v>0</v>
      </c>
    </row>
    <row r="63" spans="1:26" s="4" customFormat="1" ht="12.75">
      <c r="A63" s="201" t="s">
        <v>101</v>
      </c>
      <c r="B63" s="202"/>
      <c r="C63" s="202"/>
      <c r="D63" s="202"/>
      <c r="E63" s="202"/>
      <c r="F63" s="185"/>
      <c r="G63" s="182" t="s">
        <v>77</v>
      </c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34">
        <f aca="true" t="shared" si="21" ref="R63:X63">R64+R71+R77+R87</f>
        <v>695307.81</v>
      </c>
      <c r="S63" s="53">
        <f t="shared" si="21"/>
        <v>127338</v>
      </c>
      <c r="T63" s="29">
        <f t="shared" si="21"/>
        <v>215532.07</v>
      </c>
      <c r="U63" s="29">
        <f t="shared" si="21"/>
        <v>149994.9</v>
      </c>
      <c r="V63" s="53">
        <f t="shared" si="21"/>
        <v>202442.84</v>
      </c>
      <c r="W63" s="34">
        <f t="shared" si="21"/>
        <v>1165200</v>
      </c>
      <c r="X63" s="96">
        <f t="shared" si="21"/>
        <v>1734100</v>
      </c>
      <c r="Y63" s="28">
        <f>SUM(S63:V63)</f>
        <v>695307.8099999999</v>
      </c>
      <c r="Z63" s="28">
        <f t="shared" si="3"/>
        <v>0</v>
      </c>
    </row>
    <row r="64" spans="1:26" s="43" customFormat="1" ht="18.75" customHeight="1" hidden="1">
      <c r="A64" s="283" t="s">
        <v>487</v>
      </c>
      <c r="B64" s="284"/>
      <c r="C64" s="284"/>
      <c r="D64" s="284"/>
      <c r="E64" s="284"/>
      <c r="F64" s="136"/>
      <c r="G64" s="281" t="s">
        <v>85</v>
      </c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46">
        <f>R65</f>
        <v>22502.12</v>
      </c>
      <c r="S64" s="75">
        <f aca="true" t="shared" si="22" ref="S64:X67">S65</f>
        <v>0</v>
      </c>
      <c r="T64" s="44">
        <f t="shared" si="22"/>
        <v>0</v>
      </c>
      <c r="U64" s="44">
        <f t="shared" si="22"/>
        <v>14000</v>
      </c>
      <c r="V64" s="75">
        <f t="shared" si="22"/>
        <v>8502.119999999999</v>
      </c>
      <c r="W64" s="46">
        <f t="shared" si="22"/>
        <v>0</v>
      </c>
      <c r="X64" s="97">
        <f t="shared" si="22"/>
        <v>0</v>
      </c>
      <c r="Y64" s="42"/>
      <c r="Z64" s="28">
        <f t="shared" si="3"/>
        <v>0</v>
      </c>
    </row>
    <row r="65" spans="1:26" s="3" customFormat="1" ht="22.5" customHeight="1">
      <c r="A65" s="285" t="s">
        <v>487</v>
      </c>
      <c r="B65" s="286"/>
      <c r="C65" s="286"/>
      <c r="D65" s="286"/>
      <c r="E65" s="286"/>
      <c r="F65" s="287"/>
      <c r="G65" s="226" t="s">
        <v>492</v>
      </c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47">
        <f>R66</f>
        <v>22502.12</v>
      </c>
      <c r="S65" s="77">
        <f t="shared" si="22"/>
        <v>0</v>
      </c>
      <c r="T65" s="30">
        <f t="shared" si="22"/>
        <v>0</v>
      </c>
      <c r="U65" s="30">
        <f t="shared" si="22"/>
        <v>14000</v>
      </c>
      <c r="V65" s="77">
        <f t="shared" si="22"/>
        <v>8502.119999999999</v>
      </c>
      <c r="W65" s="47">
        <f t="shared" si="22"/>
        <v>0</v>
      </c>
      <c r="X65" s="98">
        <f t="shared" si="22"/>
        <v>0</v>
      </c>
      <c r="Y65" s="28">
        <f>SUM(S65:V65)</f>
        <v>22502.12</v>
      </c>
      <c r="Z65" s="28">
        <f t="shared" si="3"/>
        <v>0</v>
      </c>
    </row>
    <row r="66" spans="1:26" ht="12.75">
      <c r="A66" s="177" t="s">
        <v>488</v>
      </c>
      <c r="B66" s="178"/>
      <c r="C66" s="178"/>
      <c r="D66" s="178"/>
      <c r="E66" s="178"/>
      <c r="F66" s="203"/>
      <c r="G66" s="233" t="s">
        <v>236</v>
      </c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48">
        <f>R67</f>
        <v>22502.12</v>
      </c>
      <c r="S66" s="54">
        <f t="shared" si="22"/>
        <v>0</v>
      </c>
      <c r="T66" s="31">
        <f t="shared" si="22"/>
        <v>0</v>
      </c>
      <c r="U66" s="31">
        <f t="shared" si="22"/>
        <v>14000</v>
      </c>
      <c r="V66" s="54">
        <f t="shared" si="22"/>
        <v>8502.119999999999</v>
      </c>
      <c r="W66" s="48">
        <f t="shared" si="22"/>
        <v>0</v>
      </c>
      <c r="X66" s="99">
        <f t="shared" si="22"/>
        <v>0</v>
      </c>
      <c r="Y66" s="28">
        <f>SUM(S66:V66)</f>
        <v>22502.12</v>
      </c>
      <c r="Z66" s="28">
        <f>R66-S66-T66-U66-V66</f>
        <v>0</v>
      </c>
    </row>
    <row r="67" spans="1:26" ht="24" customHeight="1">
      <c r="A67" s="177" t="s">
        <v>489</v>
      </c>
      <c r="B67" s="178"/>
      <c r="C67" s="178"/>
      <c r="D67" s="178"/>
      <c r="E67" s="178"/>
      <c r="F67" s="203"/>
      <c r="G67" s="233" t="s">
        <v>190</v>
      </c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48">
        <f>R68</f>
        <v>22502.12</v>
      </c>
      <c r="S67" s="54">
        <f t="shared" si="22"/>
        <v>0</v>
      </c>
      <c r="T67" s="31">
        <f t="shared" si="22"/>
        <v>0</v>
      </c>
      <c r="U67" s="31">
        <f t="shared" si="22"/>
        <v>14000</v>
      </c>
      <c r="V67" s="54">
        <f t="shared" si="22"/>
        <v>8502.119999999999</v>
      </c>
      <c r="W67" s="48">
        <f t="shared" si="22"/>
        <v>0</v>
      </c>
      <c r="X67" s="99">
        <f t="shared" si="22"/>
        <v>0</v>
      </c>
      <c r="Y67" s="28">
        <f>SUM(S67:V67)</f>
        <v>22502.12</v>
      </c>
      <c r="Z67" s="28">
        <f>R67-S67-T67-U67-V67</f>
        <v>0</v>
      </c>
    </row>
    <row r="68" spans="1:26" ht="24" customHeight="1">
      <c r="A68" s="177" t="s">
        <v>490</v>
      </c>
      <c r="B68" s="178"/>
      <c r="C68" s="178"/>
      <c r="D68" s="178"/>
      <c r="E68" s="178"/>
      <c r="F68" s="203"/>
      <c r="G68" s="233" t="s">
        <v>237</v>
      </c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48">
        <f>SUM(R69:R70)</f>
        <v>22502.12</v>
      </c>
      <c r="S68" s="54">
        <f aca="true" t="shared" si="23" ref="S68:X68">SUM(S69:S70)</f>
        <v>0</v>
      </c>
      <c r="T68" s="31">
        <f t="shared" si="23"/>
        <v>0</v>
      </c>
      <c r="U68" s="31">
        <f t="shared" si="23"/>
        <v>14000</v>
      </c>
      <c r="V68" s="54">
        <f t="shared" si="23"/>
        <v>8502.119999999999</v>
      </c>
      <c r="W68" s="48">
        <f t="shared" si="23"/>
        <v>0</v>
      </c>
      <c r="X68" s="99">
        <f t="shared" si="23"/>
        <v>0</v>
      </c>
      <c r="Y68" s="28">
        <f>SUM(S68:V68)</f>
        <v>22502.12</v>
      </c>
      <c r="Z68" s="28">
        <f>R68-S68-T68-U68-V68</f>
        <v>0</v>
      </c>
    </row>
    <row r="69" spans="1:26" s="108" customFormat="1" ht="16.5" customHeight="1" hidden="1">
      <c r="A69" s="177" t="s">
        <v>491</v>
      </c>
      <c r="B69" s="178"/>
      <c r="C69" s="178"/>
      <c r="D69" s="178"/>
      <c r="E69" s="178"/>
      <c r="F69" s="203"/>
      <c r="G69" s="216" t="s">
        <v>42</v>
      </c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49">
        <f>S69+T69+U69+V69</f>
        <v>22502.12</v>
      </c>
      <c r="S69" s="85">
        <v>0</v>
      </c>
      <c r="T69" s="86">
        <v>0</v>
      </c>
      <c r="U69" s="86">
        <f>10000+4000</f>
        <v>14000</v>
      </c>
      <c r="V69" s="85">
        <f>3000+2625.99+2876.13</f>
        <v>8502.119999999999</v>
      </c>
      <c r="W69" s="105">
        <v>0</v>
      </c>
      <c r="X69" s="102">
        <v>0</v>
      </c>
      <c r="Y69" s="107">
        <f>SUM(S69:X69)</f>
        <v>22502.12</v>
      </c>
      <c r="Z69" s="107">
        <f t="shared" si="3"/>
        <v>0</v>
      </c>
    </row>
    <row r="70" spans="1:26" s="108" customFormat="1" ht="16.5" customHeight="1" hidden="1">
      <c r="A70" s="177" t="s">
        <v>383</v>
      </c>
      <c r="B70" s="178"/>
      <c r="C70" s="178"/>
      <c r="D70" s="178"/>
      <c r="E70" s="178"/>
      <c r="F70" s="203"/>
      <c r="G70" s="224" t="s">
        <v>70</v>
      </c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49">
        <f>S70+T70+U70+V70</f>
        <v>0</v>
      </c>
      <c r="S70" s="85"/>
      <c r="T70" s="86"/>
      <c r="U70" s="86"/>
      <c r="V70" s="85"/>
      <c r="W70" s="105"/>
      <c r="X70" s="102"/>
      <c r="Y70" s="107">
        <f>SUM(S70:X70)</f>
        <v>0</v>
      </c>
      <c r="Z70" s="107">
        <f t="shared" si="3"/>
        <v>0</v>
      </c>
    </row>
    <row r="71" spans="1:26" ht="24" customHeight="1">
      <c r="A71" s="186" t="s">
        <v>256</v>
      </c>
      <c r="B71" s="181"/>
      <c r="C71" s="181"/>
      <c r="D71" s="181"/>
      <c r="E71" s="181"/>
      <c r="F71" s="211"/>
      <c r="G71" s="231" t="s">
        <v>261</v>
      </c>
      <c r="H71" s="232"/>
      <c r="I71" s="232"/>
      <c r="J71" s="232"/>
      <c r="K71" s="232"/>
      <c r="L71" s="232"/>
      <c r="M71" s="232"/>
      <c r="N71" s="232"/>
      <c r="O71" s="232"/>
      <c r="P71" s="232"/>
      <c r="Q71" s="106"/>
      <c r="R71" s="46">
        <f>R72</f>
        <v>120194.7</v>
      </c>
      <c r="S71" s="75">
        <f aca="true" t="shared" si="24" ref="S71:X75">S72</f>
        <v>0</v>
      </c>
      <c r="T71" s="44">
        <f t="shared" si="24"/>
        <v>86512.8</v>
      </c>
      <c r="U71" s="44">
        <f t="shared" si="24"/>
        <v>33681.899999999994</v>
      </c>
      <c r="V71" s="75">
        <f t="shared" si="24"/>
        <v>0</v>
      </c>
      <c r="W71" s="46">
        <f t="shared" si="24"/>
        <v>129800</v>
      </c>
      <c r="X71" s="97">
        <f t="shared" si="24"/>
        <v>133000</v>
      </c>
      <c r="Y71" s="79"/>
      <c r="Z71" s="28">
        <f>R71-S71-T71-U71-V71</f>
        <v>0</v>
      </c>
    </row>
    <row r="72" spans="1:26" s="3" customFormat="1" ht="11.25" customHeight="1">
      <c r="A72" s="198" t="s">
        <v>443</v>
      </c>
      <c r="B72" s="199"/>
      <c r="C72" s="199"/>
      <c r="D72" s="199"/>
      <c r="E72" s="199"/>
      <c r="F72" s="200"/>
      <c r="G72" s="226" t="s">
        <v>169</v>
      </c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47">
        <f>R73</f>
        <v>120194.7</v>
      </c>
      <c r="S72" s="77">
        <f t="shared" si="24"/>
        <v>0</v>
      </c>
      <c r="T72" s="30">
        <f t="shared" si="24"/>
        <v>86512.8</v>
      </c>
      <c r="U72" s="30">
        <f t="shared" si="24"/>
        <v>33681.899999999994</v>
      </c>
      <c r="V72" s="77">
        <f t="shared" si="24"/>
        <v>0</v>
      </c>
      <c r="W72" s="47">
        <f t="shared" si="24"/>
        <v>129800</v>
      </c>
      <c r="X72" s="98">
        <f t="shared" si="24"/>
        <v>133000</v>
      </c>
      <c r="Y72" s="28">
        <f>SUM(S72:V72)</f>
        <v>120194.7</v>
      </c>
      <c r="Z72" s="28">
        <f>R72-S72-T72-U72-V72</f>
        <v>0</v>
      </c>
    </row>
    <row r="73" spans="1:26" ht="48.75" customHeight="1">
      <c r="A73" s="192" t="s">
        <v>260</v>
      </c>
      <c r="B73" s="193"/>
      <c r="C73" s="193"/>
      <c r="D73" s="193"/>
      <c r="E73" s="193"/>
      <c r="F73" s="194"/>
      <c r="G73" s="216" t="s">
        <v>207</v>
      </c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48">
        <f>R74</f>
        <v>120194.7</v>
      </c>
      <c r="S73" s="54">
        <f t="shared" si="24"/>
        <v>0</v>
      </c>
      <c r="T73" s="31">
        <f t="shared" si="24"/>
        <v>86512.8</v>
      </c>
      <c r="U73" s="31">
        <f t="shared" si="24"/>
        <v>33681.899999999994</v>
      </c>
      <c r="V73" s="54">
        <f t="shared" si="24"/>
        <v>0</v>
      </c>
      <c r="W73" s="48">
        <f t="shared" si="24"/>
        <v>129800</v>
      </c>
      <c r="X73" s="99">
        <f t="shared" si="24"/>
        <v>133000</v>
      </c>
      <c r="Y73" s="28">
        <f>SUM(S73:V73)</f>
        <v>120194.7</v>
      </c>
      <c r="Z73" s="28">
        <f>R73-S73-T73-U73-V73</f>
        <v>0</v>
      </c>
    </row>
    <row r="74" spans="1:26" ht="23.25" customHeight="1">
      <c r="A74" s="192" t="s">
        <v>259</v>
      </c>
      <c r="B74" s="193"/>
      <c r="C74" s="193"/>
      <c r="D74" s="193"/>
      <c r="E74" s="193"/>
      <c r="F74" s="194"/>
      <c r="G74" s="216" t="s">
        <v>209</v>
      </c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48">
        <f>R75</f>
        <v>120194.7</v>
      </c>
      <c r="S74" s="54">
        <f t="shared" si="24"/>
        <v>0</v>
      </c>
      <c r="T74" s="31">
        <f t="shared" si="24"/>
        <v>86512.8</v>
      </c>
      <c r="U74" s="31">
        <f t="shared" si="24"/>
        <v>33681.899999999994</v>
      </c>
      <c r="V74" s="54">
        <f t="shared" si="24"/>
        <v>0</v>
      </c>
      <c r="W74" s="48">
        <f t="shared" si="24"/>
        <v>129800</v>
      </c>
      <c r="X74" s="99">
        <f t="shared" si="24"/>
        <v>133000</v>
      </c>
      <c r="Y74" s="79"/>
      <c r="Z74" s="28">
        <f t="shared" si="3"/>
        <v>0</v>
      </c>
    </row>
    <row r="75" spans="1:26" ht="12.75">
      <c r="A75" s="192" t="s">
        <v>258</v>
      </c>
      <c r="B75" s="193"/>
      <c r="C75" s="193"/>
      <c r="D75" s="193"/>
      <c r="E75" s="193"/>
      <c r="F75" s="194"/>
      <c r="G75" s="216" t="s">
        <v>219</v>
      </c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48">
        <f>R76</f>
        <v>120194.7</v>
      </c>
      <c r="S75" s="54">
        <f t="shared" si="24"/>
        <v>0</v>
      </c>
      <c r="T75" s="31">
        <f t="shared" si="24"/>
        <v>86512.8</v>
      </c>
      <c r="U75" s="31">
        <f t="shared" si="24"/>
        <v>33681.899999999994</v>
      </c>
      <c r="V75" s="54">
        <f t="shared" si="24"/>
        <v>0</v>
      </c>
      <c r="W75" s="48">
        <f t="shared" si="24"/>
        <v>129800</v>
      </c>
      <c r="X75" s="99">
        <f t="shared" si="24"/>
        <v>133000</v>
      </c>
      <c r="Y75" s="28">
        <f>SUM(S75:V75)</f>
        <v>120194.7</v>
      </c>
      <c r="Z75" s="28">
        <f t="shared" si="3"/>
        <v>0</v>
      </c>
    </row>
    <row r="76" spans="1:26" ht="12.75" hidden="1">
      <c r="A76" s="192" t="s">
        <v>257</v>
      </c>
      <c r="B76" s="193"/>
      <c r="C76" s="193"/>
      <c r="D76" s="193"/>
      <c r="E76" s="193"/>
      <c r="F76" s="194"/>
      <c r="G76" s="216" t="s">
        <v>37</v>
      </c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49">
        <f>S76+T76+U76+V76</f>
        <v>120194.7</v>
      </c>
      <c r="S76" s="85">
        <v>0</v>
      </c>
      <c r="T76" s="86">
        <f>62600+23912.8</f>
        <v>86512.8</v>
      </c>
      <c r="U76" s="86">
        <f>62600-23912.8-5005.3</f>
        <v>33681.899999999994</v>
      </c>
      <c r="V76" s="85">
        <v>0</v>
      </c>
      <c r="W76" s="105">
        <v>129800</v>
      </c>
      <c r="X76" s="102">
        <v>133000</v>
      </c>
      <c r="Y76" s="28"/>
      <c r="Z76" s="28">
        <f t="shared" si="3"/>
        <v>0</v>
      </c>
    </row>
    <row r="77" spans="1:26" s="43" customFormat="1" ht="12.75">
      <c r="A77" s="186" t="s">
        <v>103</v>
      </c>
      <c r="B77" s="181"/>
      <c r="C77" s="181"/>
      <c r="D77" s="181"/>
      <c r="E77" s="181"/>
      <c r="F77" s="41"/>
      <c r="G77" s="184" t="s">
        <v>105</v>
      </c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46">
        <f>R78</f>
        <v>552610.99</v>
      </c>
      <c r="S77" s="75">
        <f aca="true" t="shared" si="25" ref="S77:X80">S78</f>
        <v>127338</v>
      </c>
      <c r="T77" s="44">
        <f t="shared" si="25"/>
        <v>129019.27</v>
      </c>
      <c r="U77" s="44">
        <f t="shared" si="25"/>
        <v>102313</v>
      </c>
      <c r="V77" s="75">
        <f t="shared" si="25"/>
        <v>193940.72</v>
      </c>
      <c r="W77" s="46">
        <f t="shared" si="25"/>
        <v>507400</v>
      </c>
      <c r="X77" s="97">
        <f t="shared" si="25"/>
        <v>519600</v>
      </c>
      <c r="Y77" s="42"/>
      <c r="Z77" s="28">
        <f t="shared" si="3"/>
        <v>0</v>
      </c>
    </row>
    <row r="78" spans="1:26" s="3" customFormat="1" ht="12.75">
      <c r="A78" s="198" t="s">
        <v>104</v>
      </c>
      <c r="B78" s="199"/>
      <c r="C78" s="199"/>
      <c r="D78" s="199"/>
      <c r="E78" s="199"/>
      <c r="F78" s="200"/>
      <c r="G78" s="220" t="s">
        <v>56</v>
      </c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47">
        <f>R79</f>
        <v>552610.99</v>
      </c>
      <c r="S78" s="77">
        <f t="shared" si="25"/>
        <v>127338</v>
      </c>
      <c r="T78" s="30">
        <f t="shared" si="25"/>
        <v>129019.27</v>
      </c>
      <c r="U78" s="30">
        <f t="shared" si="25"/>
        <v>102313</v>
      </c>
      <c r="V78" s="77">
        <f t="shared" si="25"/>
        <v>193940.72</v>
      </c>
      <c r="W78" s="47">
        <f t="shared" si="25"/>
        <v>507400</v>
      </c>
      <c r="X78" s="98">
        <f t="shared" si="25"/>
        <v>519600</v>
      </c>
      <c r="Y78" s="28">
        <f>SUM(S78:V78)</f>
        <v>552610.99</v>
      </c>
      <c r="Z78" s="28">
        <f t="shared" si="3"/>
        <v>0</v>
      </c>
    </row>
    <row r="79" spans="1:26" ht="12.75">
      <c r="A79" s="192" t="s">
        <v>262</v>
      </c>
      <c r="B79" s="193"/>
      <c r="C79" s="193"/>
      <c r="D79" s="193"/>
      <c r="E79" s="193"/>
      <c r="F79" s="194"/>
      <c r="G79" s="216" t="s">
        <v>236</v>
      </c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48">
        <f>R80</f>
        <v>552610.99</v>
      </c>
      <c r="S79" s="54">
        <f t="shared" si="25"/>
        <v>127338</v>
      </c>
      <c r="T79" s="31">
        <f t="shared" si="25"/>
        <v>129019.27</v>
      </c>
      <c r="U79" s="31">
        <f t="shared" si="25"/>
        <v>102313</v>
      </c>
      <c r="V79" s="54">
        <f t="shared" si="25"/>
        <v>193940.72</v>
      </c>
      <c r="W79" s="48">
        <f t="shared" si="25"/>
        <v>507400</v>
      </c>
      <c r="X79" s="99">
        <f t="shared" si="25"/>
        <v>519600</v>
      </c>
      <c r="Y79" s="28">
        <f>SUM(S79:V79)</f>
        <v>552610.99</v>
      </c>
      <c r="Z79" s="28">
        <f>R79-S79-T79-U79-V79</f>
        <v>0</v>
      </c>
    </row>
    <row r="80" spans="1:26" ht="24" customHeight="1">
      <c r="A80" s="192" t="s">
        <v>263</v>
      </c>
      <c r="B80" s="193"/>
      <c r="C80" s="193"/>
      <c r="D80" s="193"/>
      <c r="E80" s="193"/>
      <c r="F80" s="194"/>
      <c r="G80" s="216" t="s">
        <v>190</v>
      </c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48">
        <f>R81</f>
        <v>552610.99</v>
      </c>
      <c r="S80" s="54">
        <f t="shared" si="25"/>
        <v>127338</v>
      </c>
      <c r="T80" s="31">
        <f t="shared" si="25"/>
        <v>129019.27</v>
      </c>
      <c r="U80" s="31">
        <f t="shared" si="25"/>
        <v>102313</v>
      </c>
      <c r="V80" s="54">
        <f t="shared" si="25"/>
        <v>193940.72</v>
      </c>
      <c r="W80" s="48">
        <f t="shared" si="25"/>
        <v>507400</v>
      </c>
      <c r="X80" s="99">
        <f t="shared" si="25"/>
        <v>519600</v>
      </c>
      <c r="Y80" s="28">
        <f>SUM(S80:V80)</f>
        <v>552610.99</v>
      </c>
      <c r="Z80" s="28">
        <f>R80-S80-T80-U80-V80</f>
        <v>0</v>
      </c>
    </row>
    <row r="81" spans="1:26" ht="24" customHeight="1">
      <c r="A81" s="192" t="s">
        <v>264</v>
      </c>
      <c r="B81" s="193"/>
      <c r="C81" s="193"/>
      <c r="D81" s="193"/>
      <c r="E81" s="193"/>
      <c r="F81" s="194"/>
      <c r="G81" s="216" t="s">
        <v>237</v>
      </c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48">
        <f>SUM(R82:R86)</f>
        <v>552610.99</v>
      </c>
      <c r="S81" s="54">
        <f aca="true" t="shared" si="26" ref="S81:X81">SUM(S82:S86)</f>
        <v>127338</v>
      </c>
      <c r="T81" s="31">
        <f t="shared" si="26"/>
        <v>129019.27</v>
      </c>
      <c r="U81" s="31">
        <f t="shared" si="26"/>
        <v>102313</v>
      </c>
      <c r="V81" s="54">
        <f t="shared" si="26"/>
        <v>193940.72</v>
      </c>
      <c r="W81" s="48">
        <f t="shared" si="26"/>
        <v>507400</v>
      </c>
      <c r="X81" s="99">
        <f t="shared" si="26"/>
        <v>519600</v>
      </c>
      <c r="Y81" s="28">
        <f>SUM(S81:V81)</f>
        <v>552610.99</v>
      </c>
      <c r="Z81" s="28">
        <f>R81-S81-T81-U81-V81</f>
        <v>0</v>
      </c>
    </row>
    <row r="82" spans="1:26" ht="12.75" customHeight="1" hidden="1">
      <c r="A82" s="192" t="s">
        <v>534</v>
      </c>
      <c r="B82" s="193"/>
      <c r="C82" s="193"/>
      <c r="D82" s="193"/>
      <c r="E82" s="193"/>
      <c r="F82" s="194"/>
      <c r="G82" s="216" t="s">
        <v>39</v>
      </c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49">
        <f>SUM(S82:V82)</f>
        <v>0</v>
      </c>
      <c r="S82" s="85">
        <v>0</v>
      </c>
      <c r="T82" s="86">
        <v>0</v>
      </c>
      <c r="U82" s="86">
        <v>0</v>
      </c>
      <c r="V82" s="85">
        <f>640-640</f>
        <v>0</v>
      </c>
      <c r="W82" s="105">
        <v>0</v>
      </c>
      <c r="X82" s="102">
        <v>0</v>
      </c>
      <c r="Y82" s="28">
        <f>SUM(S82:X82)</f>
        <v>0</v>
      </c>
      <c r="Z82" s="28">
        <f t="shared" si="3"/>
        <v>0</v>
      </c>
    </row>
    <row r="83" spans="1:26" ht="12.75" hidden="1">
      <c r="A83" s="192" t="s">
        <v>265</v>
      </c>
      <c r="B83" s="193"/>
      <c r="C83" s="193"/>
      <c r="D83" s="193"/>
      <c r="E83" s="193"/>
      <c r="F83" s="194"/>
      <c r="G83" s="216" t="s">
        <v>40</v>
      </c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49">
        <f>SUM(S83:V83)</f>
        <v>117958.68</v>
      </c>
      <c r="S83" s="85">
        <f>42500</f>
        <v>42500</v>
      </c>
      <c r="T83" s="86">
        <f>33500</f>
        <v>33500</v>
      </c>
      <c r="U83" s="86">
        <f>21500-4000</f>
        <v>17500</v>
      </c>
      <c r="V83" s="85">
        <f>42500-2625.99-12000-3415.33</f>
        <v>24458.68</v>
      </c>
      <c r="W83" s="105">
        <v>140000</v>
      </c>
      <c r="X83" s="102">
        <v>140000</v>
      </c>
      <c r="Y83" s="28">
        <f>SUM(S83:X83)</f>
        <v>397958.68</v>
      </c>
      <c r="Z83" s="28">
        <f>R83-S83-T83-U83-V83</f>
        <v>0</v>
      </c>
    </row>
    <row r="84" spans="1:26" ht="12.75" hidden="1">
      <c r="A84" s="192" t="s">
        <v>266</v>
      </c>
      <c r="B84" s="193"/>
      <c r="C84" s="193"/>
      <c r="D84" s="193"/>
      <c r="E84" s="193"/>
      <c r="F84" s="194"/>
      <c r="G84" s="216" t="s">
        <v>41</v>
      </c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49">
        <f>SUM(S84:V84)</f>
        <v>101692.5</v>
      </c>
      <c r="S84" s="85">
        <f>25013</f>
        <v>25013</v>
      </c>
      <c r="T84" s="86">
        <f>24987</f>
        <v>24987</v>
      </c>
      <c r="U84" s="86">
        <f>24988</f>
        <v>24988</v>
      </c>
      <c r="V84" s="85">
        <f>25012-3000+2072.5+2620</f>
        <v>26704.5</v>
      </c>
      <c r="W84" s="105">
        <v>100000</v>
      </c>
      <c r="X84" s="102">
        <v>100000</v>
      </c>
      <c r="Y84" s="28">
        <f>SUM(S84:X84)</f>
        <v>301692.5</v>
      </c>
      <c r="Z84" s="28">
        <f t="shared" si="3"/>
        <v>0</v>
      </c>
    </row>
    <row r="85" spans="1:26" ht="12.75" hidden="1">
      <c r="A85" s="192" t="s">
        <v>267</v>
      </c>
      <c r="B85" s="193"/>
      <c r="C85" s="193"/>
      <c r="D85" s="193"/>
      <c r="E85" s="193"/>
      <c r="F85" s="194"/>
      <c r="G85" s="216" t="s">
        <v>42</v>
      </c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49">
        <f>SUM(S85:V85)</f>
        <v>332959.81000000006</v>
      </c>
      <c r="S85" s="85">
        <f>59825</f>
        <v>59825</v>
      </c>
      <c r="T85" s="86">
        <f>59825+10707.27</f>
        <v>70532.27</v>
      </c>
      <c r="U85" s="86">
        <f>59825</f>
        <v>59825</v>
      </c>
      <c r="V85" s="85">
        <f>59825-10707.27+15936+24564+18100+4531.7+3816.55+26711.56</f>
        <v>142777.54</v>
      </c>
      <c r="W85" s="105">
        <v>257400</v>
      </c>
      <c r="X85" s="102">
        <v>269600</v>
      </c>
      <c r="Y85" s="28">
        <f>SUM(S85:X85)</f>
        <v>859959.81</v>
      </c>
      <c r="Z85" s="28">
        <f t="shared" si="3"/>
        <v>0</v>
      </c>
    </row>
    <row r="86" spans="1:26" ht="12.75" hidden="1">
      <c r="A86" s="192" t="s">
        <v>268</v>
      </c>
      <c r="B86" s="193"/>
      <c r="C86" s="193"/>
      <c r="D86" s="193"/>
      <c r="E86" s="193"/>
      <c r="F86" s="194"/>
      <c r="G86" s="224" t="s">
        <v>70</v>
      </c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49">
        <f>SUM(S86:V86)</f>
        <v>0</v>
      </c>
      <c r="S86" s="85">
        <f>2500-2500</f>
        <v>0</v>
      </c>
      <c r="T86" s="86">
        <f>2500-2500</f>
        <v>0</v>
      </c>
      <c r="U86" s="86">
        <f>2500-2500</f>
        <v>0</v>
      </c>
      <c r="V86" s="85">
        <f>2500-2500</f>
        <v>0</v>
      </c>
      <c r="W86" s="105">
        <v>10000</v>
      </c>
      <c r="X86" s="102">
        <v>10000</v>
      </c>
      <c r="Y86" s="28">
        <f>SUM(S86:X86)</f>
        <v>20000</v>
      </c>
      <c r="Z86" s="28">
        <f t="shared" si="3"/>
        <v>0</v>
      </c>
    </row>
    <row r="87" spans="1:26" s="43" customFormat="1" ht="12.75">
      <c r="A87" s="186" t="s">
        <v>102</v>
      </c>
      <c r="B87" s="181"/>
      <c r="C87" s="181"/>
      <c r="D87" s="181"/>
      <c r="E87" s="181"/>
      <c r="F87" s="41"/>
      <c r="G87" s="184" t="s">
        <v>86</v>
      </c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46">
        <f>R88</f>
        <v>0</v>
      </c>
      <c r="S87" s="75">
        <f aca="true" t="shared" si="27" ref="S87:V88">S88</f>
        <v>0</v>
      </c>
      <c r="T87" s="44">
        <f t="shared" si="27"/>
        <v>0</v>
      </c>
      <c r="U87" s="44">
        <f t="shared" si="27"/>
        <v>0</v>
      </c>
      <c r="V87" s="75">
        <f t="shared" si="27"/>
        <v>0</v>
      </c>
      <c r="W87" s="46">
        <f>W88</f>
        <v>528000</v>
      </c>
      <c r="X87" s="97">
        <f>X88</f>
        <v>1081500</v>
      </c>
      <c r="Y87" s="42"/>
      <c r="Z87" s="28">
        <f t="shared" si="3"/>
        <v>0</v>
      </c>
    </row>
    <row r="88" spans="1:26" ht="12.75">
      <c r="A88" s="192" t="s">
        <v>269</v>
      </c>
      <c r="B88" s="193"/>
      <c r="C88" s="193"/>
      <c r="D88" s="193"/>
      <c r="E88" s="193"/>
      <c r="F88" s="38"/>
      <c r="G88" s="216" t="s">
        <v>238</v>
      </c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48">
        <f>R89</f>
        <v>0</v>
      </c>
      <c r="S88" s="54">
        <f t="shared" si="27"/>
        <v>0</v>
      </c>
      <c r="T88" s="31">
        <f t="shared" si="27"/>
        <v>0</v>
      </c>
      <c r="U88" s="31">
        <f t="shared" si="27"/>
        <v>0</v>
      </c>
      <c r="V88" s="54">
        <f t="shared" si="27"/>
        <v>0</v>
      </c>
      <c r="W88" s="48">
        <f>W89</f>
        <v>528000</v>
      </c>
      <c r="X88" s="99">
        <f>X89</f>
        <v>1081500</v>
      </c>
      <c r="Y88" s="28"/>
      <c r="Z88" s="28">
        <f t="shared" si="3"/>
        <v>0</v>
      </c>
    </row>
    <row r="89" spans="1:26" ht="12.75" hidden="1">
      <c r="A89" s="192" t="s">
        <v>270</v>
      </c>
      <c r="B89" s="193"/>
      <c r="C89" s="193"/>
      <c r="D89" s="193"/>
      <c r="E89" s="193"/>
      <c r="F89" s="38"/>
      <c r="G89" s="216" t="s">
        <v>245</v>
      </c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49">
        <f>SUM(S89:V89)</f>
        <v>0</v>
      </c>
      <c r="S89" s="85">
        <v>0</v>
      </c>
      <c r="T89" s="86">
        <v>0</v>
      </c>
      <c r="U89" s="86">
        <v>0</v>
      </c>
      <c r="V89" s="85">
        <v>0</v>
      </c>
      <c r="W89" s="105">
        <v>528000</v>
      </c>
      <c r="X89" s="102">
        <v>1081500</v>
      </c>
      <c r="Y89" s="28"/>
      <c r="Z89" s="28">
        <f t="shared" si="3"/>
        <v>0</v>
      </c>
    </row>
    <row r="90" spans="1:26" s="4" customFormat="1" ht="16.5" customHeight="1">
      <c r="A90" s="201" t="s">
        <v>113</v>
      </c>
      <c r="B90" s="202"/>
      <c r="C90" s="202"/>
      <c r="D90" s="202"/>
      <c r="E90" s="202"/>
      <c r="F90" s="185"/>
      <c r="G90" s="182" t="s">
        <v>47</v>
      </c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34">
        <f>R91</f>
        <v>398999.99999999994</v>
      </c>
      <c r="S90" s="53">
        <f aca="true" t="shared" si="28" ref="S90:X91">S91</f>
        <v>111800</v>
      </c>
      <c r="T90" s="29">
        <f t="shared" si="28"/>
        <v>152321.64</v>
      </c>
      <c r="U90" s="29">
        <f t="shared" si="28"/>
        <v>66174.4</v>
      </c>
      <c r="V90" s="53">
        <f t="shared" si="28"/>
        <v>68703.96</v>
      </c>
      <c r="W90" s="34">
        <f t="shared" si="28"/>
        <v>415500</v>
      </c>
      <c r="X90" s="96">
        <f t="shared" si="28"/>
        <v>430400</v>
      </c>
      <c r="Y90" s="28">
        <f>SUM(S90:V90)</f>
        <v>399000.00000000006</v>
      </c>
      <c r="Z90" s="28">
        <f t="shared" si="3"/>
        <v>0</v>
      </c>
    </row>
    <row r="91" spans="1:26" s="43" customFormat="1" ht="16.5" customHeight="1">
      <c r="A91" s="186" t="s">
        <v>114</v>
      </c>
      <c r="B91" s="181"/>
      <c r="C91" s="181"/>
      <c r="D91" s="181"/>
      <c r="E91" s="181"/>
      <c r="F91" s="41"/>
      <c r="G91" s="184" t="s">
        <v>85</v>
      </c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46">
        <f>R92</f>
        <v>398999.99999999994</v>
      </c>
      <c r="S91" s="75">
        <f t="shared" si="28"/>
        <v>111800</v>
      </c>
      <c r="T91" s="44">
        <f t="shared" si="28"/>
        <v>152321.64</v>
      </c>
      <c r="U91" s="44">
        <f t="shared" si="28"/>
        <v>66174.4</v>
      </c>
      <c r="V91" s="75">
        <f t="shared" si="28"/>
        <v>68703.96</v>
      </c>
      <c r="W91" s="46">
        <f t="shared" si="28"/>
        <v>415500</v>
      </c>
      <c r="X91" s="97">
        <f t="shared" si="28"/>
        <v>430400</v>
      </c>
      <c r="Y91" s="42"/>
      <c r="Z91" s="28">
        <f t="shared" si="3"/>
        <v>0</v>
      </c>
    </row>
    <row r="92" spans="1:26" s="3" customFormat="1" ht="26.25" customHeight="1">
      <c r="A92" s="198" t="s">
        <v>115</v>
      </c>
      <c r="B92" s="199"/>
      <c r="C92" s="199"/>
      <c r="D92" s="199"/>
      <c r="E92" s="199"/>
      <c r="F92" s="200"/>
      <c r="G92" s="220" t="s">
        <v>48</v>
      </c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47">
        <f>R93+R100</f>
        <v>398999.99999999994</v>
      </c>
      <c r="S92" s="77">
        <f aca="true" t="shared" si="29" ref="S92:X92">S93+S100+S110</f>
        <v>111800</v>
      </c>
      <c r="T92" s="30">
        <f>T93+T100</f>
        <v>152321.64</v>
      </c>
      <c r="U92" s="30">
        <f t="shared" si="29"/>
        <v>66174.4</v>
      </c>
      <c r="V92" s="77">
        <f t="shared" si="29"/>
        <v>68703.96</v>
      </c>
      <c r="W92" s="47">
        <f t="shared" si="29"/>
        <v>415500</v>
      </c>
      <c r="X92" s="98">
        <f t="shared" si="29"/>
        <v>430400</v>
      </c>
      <c r="Y92" s="28">
        <f>SUM(S92:V92)</f>
        <v>399000.00000000006</v>
      </c>
      <c r="Z92" s="28">
        <f t="shared" si="3"/>
        <v>0</v>
      </c>
    </row>
    <row r="93" spans="1:26" ht="48.75" customHeight="1">
      <c r="A93" s="192" t="s">
        <v>271</v>
      </c>
      <c r="B93" s="193"/>
      <c r="C93" s="193"/>
      <c r="D93" s="193"/>
      <c r="E93" s="193"/>
      <c r="F93" s="194"/>
      <c r="G93" s="216" t="s">
        <v>207</v>
      </c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48">
        <f>R94</f>
        <v>385709.70999999996</v>
      </c>
      <c r="S93" s="54">
        <f aca="true" t="shared" si="30" ref="S93:X93">S94</f>
        <v>107300</v>
      </c>
      <c r="T93" s="31">
        <f t="shared" si="30"/>
        <v>148560.6</v>
      </c>
      <c r="U93" s="31">
        <f t="shared" si="30"/>
        <v>64174.4</v>
      </c>
      <c r="V93" s="54">
        <f t="shared" si="30"/>
        <v>65674.71</v>
      </c>
      <c r="W93" s="48">
        <f t="shared" si="30"/>
        <v>382500</v>
      </c>
      <c r="X93" s="99">
        <f t="shared" si="30"/>
        <v>397400</v>
      </c>
      <c r="Y93" s="28">
        <f>SUM(S93:V93)</f>
        <v>385709.71</v>
      </c>
      <c r="Z93" s="28">
        <f>R93-S93-T93-U93-V93</f>
        <v>0</v>
      </c>
    </row>
    <row r="94" spans="1:26" ht="24" customHeight="1">
      <c r="A94" s="192" t="s">
        <v>272</v>
      </c>
      <c r="B94" s="193"/>
      <c r="C94" s="193"/>
      <c r="D94" s="193"/>
      <c r="E94" s="193"/>
      <c r="F94" s="194"/>
      <c r="G94" s="216" t="s">
        <v>209</v>
      </c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48">
        <f>R95+R98</f>
        <v>385709.70999999996</v>
      </c>
      <c r="S94" s="54">
        <f aca="true" t="shared" si="31" ref="S94:X94">S95+S98</f>
        <v>107300</v>
      </c>
      <c r="T94" s="31">
        <f t="shared" si="31"/>
        <v>148560.6</v>
      </c>
      <c r="U94" s="31">
        <f t="shared" si="31"/>
        <v>64174.4</v>
      </c>
      <c r="V94" s="54">
        <f t="shared" si="31"/>
        <v>65674.71</v>
      </c>
      <c r="W94" s="113">
        <f t="shared" si="31"/>
        <v>382500</v>
      </c>
      <c r="X94" s="112">
        <f t="shared" si="31"/>
        <v>397400</v>
      </c>
      <c r="Y94" s="28">
        <f>SUM(S94:V94)</f>
        <v>385709.71</v>
      </c>
      <c r="Z94" s="28">
        <f>R94-S94-T94-U94-V94</f>
        <v>0</v>
      </c>
    </row>
    <row r="95" spans="1:26" ht="12.75">
      <c r="A95" s="192" t="s">
        <v>273</v>
      </c>
      <c r="B95" s="193"/>
      <c r="C95" s="193"/>
      <c r="D95" s="193"/>
      <c r="E95" s="193"/>
      <c r="F95" s="194"/>
      <c r="G95" s="216" t="s">
        <v>212</v>
      </c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48">
        <f>R96+R97</f>
        <v>379974.11</v>
      </c>
      <c r="S95" s="54">
        <f aca="true" t="shared" si="32" ref="S95:X95">S96+S97</f>
        <v>107300</v>
      </c>
      <c r="T95" s="31">
        <f t="shared" si="32"/>
        <v>142825</v>
      </c>
      <c r="U95" s="31">
        <f t="shared" si="32"/>
        <v>64174.4</v>
      </c>
      <c r="V95" s="54">
        <f t="shared" si="32"/>
        <v>65674.71</v>
      </c>
      <c r="W95" s="113">
        <f t="shared" si="32"/>
        <v>382500</v>
      </c>
      <c r="X95" s="112">
        <f t="shared" si="32"/>
        <v>382400</v>
      </c>
      <c r="Y95" s="28">
        <f>SUM(S95:V95)</f>
        <v>379974.11000000004</v>
      </c>
      <c r="Z95" s="28">
        <f>R95-S95-T95-U95-V95</f>
        <v>0</v>
      </c>
    </row>
    <row r="96" spans="1:26" ht="12.75" hidden="1">
      <c r="A96" s="192" t="s">
        <v>274</v>
      </c>
      <c r="B96" s="193"/>
      <c r="C96" s="193"/>
      <c r="D96" s="193"/>
      <c r="E96" s="193"/>
      <c r="F96" s="194"/>
      <c r="G96" s="216" t="s">
        <v>33</v>
      </c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49">
        <f>SUM(S96:V96)</f>
        <v>293280.22</v>
      </c>
      <c r="S96" s="85">
        <f>82400</f>
        <v>82400</v>
      </c>
      <c r="T96" s="86">
        <f>55300+70825</f>
        <v>126125</v>
      </c>
      <c r="U96" s="86">
        <f>79700-50000</f>
        <v>29700</v>
      </c>
      <c r="V96" s="85">
        <f>60700-20825+14000+1463.22+108.62-391.62</f>
        <v>55055.22</v>
      </c>
      <c r="W96" s="105">
        <v>298800</v>
      </c>
      <c r="X96" s="102">
        <v>298800</v>
      </c>
      <c r="Y96" s="28">
        <f>SUM(S96:X96)</f>
        <v>890880.22</v>
      </c>
      <c r="Z96" s="28">
        <f t="shared" si="3"/>
        <v>0</v>
      </c>
    </row>
    <row r="97" spans="1:26" ht="12.75" hidden="1">
      <c r="A97" s="192" t="s">
        <v>275</v>
      </c>
      <c r="B97" s="193"/>
      <c r="C97" s="193"/>
      <c r="D97" s="193"/>
      <c r="E97" s="193"/>
      <c r="F97" s="194"/>
      <c r="G97" s="216" t="s">
        <v>34</v>
      </c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49">
        <f>SUM(S97:V97)</f>
        <v>86693.89</v>
      </c>
      <c r="S97" s="85">
        <f>24900</f>
        <v>24900</v>
      </c>
      <c r="T97" s="86">
        <f>16700</f>
        <v>16700</v>
      </c>
      <c r="U97" s="86">
        <f>22800+5410+6264.4</f>
        <v>34474.4</v>
      </c>
      <c r="V97" s="85">
        <f>13500-5410+2137.87+391.62</f>
        <v>10619.49</v>
      </c>
      <c r="W97" s="105">
        <v>83700</v>
      </c>
      <c r="X97" s="102">
        <v>83600</v>
      </c>
      <c r="Y97" s="28">
        <f>SUM(S97:W97)</f>
        <v>170393.89</v>
      </c>
      <c r="Z97" s="28">
        <f>R97-S97-T97-U97-V97</f>
        <v>0</v>
      </c>
    </row>
    <row r="98" spans="1:26" ht="12.75">
      <c r="A98" s="192" t="s">
        <v>276</v>
      </c>
      <c r="B98" s="193"/>
      <c r="C98" s="193"/>
      <c r="D98" s="193"/>
      <c r="E98" s="193"/>
      <c r="F98" s="194"/>
      <c r="G98" s="216" t="s">
        <v>219</v>
      </c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48">
        <f aca="true" t="shared" si="33" ref="R98:X98">R99</f>
        <v>5735.6</v>
      </c>
      <c r="S98" s="54">
        <f t="shared" si="33"/>
        <v>0</v>
      </c>
      <c r="T98" s="31">
        <f t="shared" si="33"/>
        <v>5735.6</v>
      </c>
      <c r="U98" s="31">
        <f t="shared" si="33"/>
        <v>0</v>
      </c>
      <c r="V98" s="54">
        <f t="shared" si="33"/>
        <v>0</v>
      </c>
      <c r="W98" s="113">
        <f t="shared" si="33"/>
        <v>0</v>
      </c>
      <c r="X98" s="112">
        <f t="shared" si="33"/>
        <v>15000</v>
      </c>
      <c r="Y98" s="28">
        <f>SUM(S98:V98)</f>
        <v>5735.6</v>
      </c>
      <c r="Z98" s="28">
        <f>R98-S98-T98-U98-V98</f>
        <v>0</v>
      </c>
    </row>
    <row r="99" spans="1:26" ht="12.75" hidden="1">
      <c r="A99" s="192" t="s">
        <v>277</v>
      </c>
      <c r="B99" s="193"/>
      <c r="C99" s="193"/>
      <c r="D99" s="193"/>
      <c r="E99" s="193"/>
      <c r="F99" s="194"/>
      <c r="G99" s="216" t="s">
        <v>37</v>
      </c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49">
        <f aca="true" t="shared" si="34" ref="R99:R109">SUM(S99:V99)</f>
        <v>5735.6</v>
      </c>
      <c r="S99" s="85">
        <v>0</v>
      </c>
      <c r="T99" s="86">
        <f>12000-6264.4</f>
        <v>5735.6</v>
      </c>
      <c r="U99" s="86">
        <v>0</v>
      </c>
      <c r="V99" s="85">
        <v>0</v>
      </c>
      <c r="W99" s="105">
        <v>0</v>
      </c>
      <c r="X99" s="102">
        <v>15000</v>
      </c>
      <c r="Y99" s="28">
        <f>SUM(S99:V99)</f>
        <v>5735.6</v>
      </c>
      <c r="Z99" s="28">
        <f t="shared" si="3"/>
        <v>0</v>
      </c>
    </row>
    <row r="100" spans="1:26" ht="12.75">
      <c r="A100" s="192" t="s">
        <v>280</v>
      </c>
      <c r="B100" s="193"/>
      <c r="C100" s="193"/>
      <c r="D100" s="193"/>
      <c r="E100" s="193"/>
      <c r="F100" s="194"/>
      <c r="G100" s="216" t="s">
        <v>236</v>
      </c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48">
        <f>R101</f>
        <v>13290.29</v>
      </c>
      <c r="S100" s="54">
        <f aca="true" t="shared" si="35" ref="S100:X101">S101</f>
        <v>4500</v>
      </c>
      <c r="T100" s="31">
        <f t="shared" si="35"/>
        <v>3761.04</v>
      </c>
      <c r="U100" s="31">
        <f t="shared" si="35"/>
        <v>2000</v>
      </c>
      <c r="V100" s="54">
        <f t="shared" si="35"/>
        <v>3029.25</v>
      </c>
      <c r="W100" s="113">
        <f t="shared" si="35"/>
        <v>33000</v>
      </c>
      <c r="X100" s="112">
        <f t="shared" si="35"/>
        <v>33000</v>
      </c>
      <c r="Y100" s="28">
        <f>SUM(S100:V100)</f>
        <v>13290.29</v>
      </c>
      <c r="Z100" s="28">
        <f>R100-S100-T100-U100-V100</f>
        <v>0</v>
      </c>
    </row>
    <row r="101" spans="1:26" ht="24" customHeight="1">
      <c r="A101" s="192" t="s">
        <v>278</v>
      </c>
      <c r="B101" s="193"/>
      <c r="C101" s="193"/>
      <c r="D101" s="193"/>
      <c r="E101" s="193"/>
      <c r="F101" s="194"/>
      <c r="G101" s="216" t="s">
        <v>190</v>
      </c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48">
        <f>R102</f>
        <v>13290.29</v>
      </c>
      <c r="S101" s="54">
        <f t="shared" si="35"/>
        <v>4500</v>
      </c>
      <c r="T101" s="31">
        <f t="shared" si="35"/>
        <v>3761.04</v>
      </c>
      <c r="U101" s="31">
        <f t="shared" si="35"/>
        <v>2000</v>
      </c>
      <c r="V101" s="54">
        <f t="shared" si="35"/>
        <v>3029.25</v>
      </c>
      <c r="W101" s="113">
        <f t="shared" si="35"/>
        <v>33000</v>
      </c>
      <c r="X101" s="112">
        <f t="shared" si="35"/>
        <v>33000</v>
      </c>
      <c r="Y101" s="28">
        <f>SUM(S101:V101)</f>
        <v>13290.29</v>
      </c>
      <c r="Z101" s="28">
        <f>R101-S101-T101-U101-V101</f>
        <v>0</v>
      </c>
    </row>
    <row r="102" spans="1:26" ht="24" customHeight="1">
      <c r="A102" s="192" t="s">
        <v>279</v>
      </c>
      <c r="B102" s="193"/>
      <c r="C102" s="193"/>
      <c r="D102" s="193"/>
      <c r="E102" s="193"/>
      <c r="F102" s="194"/>
      <c r="G102" s="216" t="s">
        <v>237</v>
      </c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48">
        <f>SUM(R103:R109)</f>
        <v>13290.29</v>
      </c>
      <c r="S102" s="54">
        <f aca="true" t="shared" si="36" ref="S102:X102">SUM(S103:S109)</f>
        <v>4500</v>
      </c>
      <c r="T102" s="31">
        <f t="shared" si="36"/>
        <v>3761.04</v>
      </c>
      <c r="U102" s="31">
        <f t="shared" si="36"/>
        <v>2000</v>
      </c>
      <c r="V102" s="54">
        <f t="shared" si="36"/>
        <v>3029.25</v>
      </c>
      <c r="W102" s="113">
        <f t="shared" si="36"/>
        <v>33000</v>
      </c>
      <c r="X102" s="112">
        <f t="shared" si="36"/>
        <v>33000</v>
      </c>
      <c r="Y102" s="28">
        <f>SUM(S102:V102)</f>
        <v>13290.29</v>
      </c>
      <c r="Z102" s="28">
        <f>R102-S102-T102-U102-V102</f>
        <v>0</v>
      </c>
    </row>
    <row r="103" spans="1:26" ht="12.75" hidden="1">
      <c r="A103" s="192" t="s">
        <v>281</v>
      </c>
      <c r="B103" s="193"/>
      <c r="C103" s="193"/>
      <c r="D103" s="193"/>
      <c r="E103" s="193"/>
      <c r="F103" s="194"/>
      <c r="G103" s="216" t="s">
        <v>38</v>
      </c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49">
        <f t="shared" si="34"/>
        <v>7891.38</v>
      </c>
      <c r="S103" s="85">
        <f>2000</f>
        <v>2000</v>
      </c>
      <c r="T103" s="86">
        <f>2000</f>
        <v>2000</v>
      </c>
      <c r="U103" s="86">
        <f>2000</f>
        <v>2000</v>
      </c>
      <c r="V103" s="85">
        <f>2000-108.62</f>
        <v>1891.38</v>
      </c>
      <c r="W103" s="105">
        <v>9000</v>
      </c>
      <c r="X103" s="102">
        <v>9000</v>
      </c>
      <c r="Y103" s="28">
        <f>SUM(S103:W103)</f>
        <v>16891.38</v>
      </c>
      <c r="Z103" s="28">
        <f t="shared" si="3"/>
        <v>0</v>
      </c>
    </row>
    <row r="104" spans="1:26" ht="12.75" hidden="1">
      <c r="A104" s="192" t="s">
        <v>282</v>
      </c>
      <c r="B104" s="193"/>
      <c r="C104" s="193"/>
      <c r="D104" s="193"/>
      <c r="E104" s="193"/>
      <c r="F104" s="194"/>
      <c r="G104" s="216" t="s">
        <v>39</v>
      </c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49">
        <f t="shared" si="34"/>
        <v>0</v>
      </c>
      <c r="S104" s="85"/>
      <c r="T104" s="86"/>
      <c r="U104" s="86"/>
      <c r="V104" s="85"/>
      <c r="W104" s="105">
        <v>0</v>
      </c>
      <c r="X104" s="102">
        <v>0</v>
      </c>
      <c r="Y104" s="28">
        <f>SUM(S104:V104)</f>
        <v>0</v>
      </c>
      <c r="Z104" s="28">
        <f t="shared" si="3"/>
        <v>0</v>
      </c>
    </row>
    <row r="105" spans="1:26" ht="12.75" hidden="1">
      <c r="A105" s="192" t="s">
        <v>283</v>
      </c>
      <c r="B105" s="193"/>
      <c r="C105" s="193"/>
      <c r="D105" s="193"/>
      <c r="E105" s="193"/>
      <c r="F105" s="194"/>
      <c r="G105" s="216" t="s">
        <v>40</v>
      </c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49">
        <f t="shared" si="34"/>
        <v>5398.91</v>
      </c>
      <c r="S105" s="85">
        <v>2500</v>
      </c>
      <c r="T105" s="86">
        <f>2000-238.96</f>
        <v>1761.04</v>
      </c>
      <c r="U105" s="86">
        <f>1000-1000</f>
        <v>0</v>
      </c>
      <c r="V105" s="85">
        <f>2500-1137.87-224.26</f>
        <v>1137.8700000000001</v>
      </c>
      <c r="W105" s="105">
        <v>9000</v>
      </c>
      <c r="X105" s="102">
        <v>9000</v>
      </c>
      <c r="Y105" s="28">
        <f>SUM(S105:W105)</f>
        <v>14398.91</v>
      </c>
      <c r="Z105" s="28">
        <f t="shared" si="3"/>
        <v>0</v>
      </c>
    </row>
    <row r="106" spans="1:26" ht="12.75" hidden="1">
      <c r="A106" s="192" t="s">
        <v>284</v>
      </c>
      <c r="B106" s="193"/>
      <c r="C106" s="193"/>
      <c r="D106" s="193"/>
      <c r="E106" s="193"/>
      <c r="F106" s="194"/>
      <c r="G106" s="216" t="s">
        <v>41</v>
      </c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49">
        <f>SUM(S106:V106)</f>
        <v>0</v>
      </c>
      <c r="S106" s="85">
        <v>0</v>
      </c>
      <c r="T106" s="86">
        <v>0</v>
      </c>
      <c r="U106" s="86">
        <v>0</v>
      </c>
      <c r="V106" s="85">
        <v>0</v>
      </c>
      <c r="W106" s="105">
        <v>0</v>
      </c>
      <c r="X106" s="102">
        <v>0</v>
      </c>
      <c r="Y106" s="28">
        <f>SUM(S106:W106)</f>
        <v>0</v>
      </c>
      <c r="Z106" s="28">
        <f t="shared" si="3"/>
        <v>0</v>
      </c>
    </row>
    <row r="107" spans="1:26" ht="12.75" hidden="1">
      <c r="A107" s="192" t="s">
        <v>285</v>
      </c>
      <c r="B107" s="193"/>
      <c r="C107" s="193"/>
      <c r="D107" s="193"/>
      <c r="E107" s="193"/>
      <c r="F107" s="194"/>
      <c r="G107" s="216" t="s">
        <v>42</v>
      </c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49">
        <f>SUM(S107:V107)</f>
        <v>0</v>
      </c>
      <c r="S107" s="85">
        <v>0</v>
      </c>
      <c r="T107" s="86">
        <v>0</v>
      </c>
      <c r="U107" s="86">
        <v>0</v>
      </c>
      <c r="V107" s="85">
        <f>5000-5000</f>
        <v>0</v>
      </c>
      <c r="W107" s="105">
        <v>5000</v>
      </c>
      <c r="X107" s="102">
        <v>5000</v>
      </c>
      <c r="Y107" s="28">
        <f>SUM(S107:W107)</f>
        <v>5000</v>
      </c>
      <c r="Z107" s="28">
        <f t="shared" si="3"/>
        <v>0</v>
      </c>
    </row>
    <row r="108" spans="1:26" ht="12.75" hidden="1">
      <c r="A108" s="192" t="s">
        <v>286</v>
      </c>
      <c r="B108" s="193"/>
      <c r="C108" s="193"/>
      <c r="D108" s="193"/>
      <c r="E108" s="193"/>
      <c r="F108" s="194"/>
      <c r="G108" s="216" t="s">
        <v>43</v>
      </c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49">
        <f t="shared" si="34"/>
        <v>0</v>
      </c>
      <c r="S108" s="85">
        <v>0</v>
      </c>
      <c r="T108" s="86">
        <v>0</v>
      </c>
      <c r="U108" s="86">
        <v>0</v>
      </c>
      <c r="V108" s="85">
        <v>0</v>
      </c>
      <c r="W108" s="105">
        <v>0</v>
      </c>
      <c r="X108" s="102">
        <v>0</v>
      </c>
      <c r="Y108" s="28">
        <f>SUM(S108:X108)</f>
        <v>0</v>
      </c>
      <c r="Z108" s="28">
        <f t="shared" si="3"/>
        <v>0</v>
      </c>
    </row>
    <row r="109" spans="1:26" ht="12.75" hidden="1">
      <c r="A109" s="192" t="s">
        <v>287</v>
      </c>
      <c r="B109" s="193"/>
      <c r="C109" s="193"/>
      <c r="D109" s="193"/>
      <c r="E109" s="193"/>
      <c r="F109" s="194"/>
      <c r="G109" s="224" t="s">
        <v>70</v>
      </c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49">
        <f t="shared" si="34"/>
        <v>0</v>
      </c>
      <c r="S109" s="85">
        <v>0</v>
      </c>
      <c r="T109" s="86">
        <f>2850-2850</f>
        <v>0</v>
      </c>
      <c r="U109" s="86">
        <v>0</v>
      </c>
      <c r="V109" s="85">
        <f>7150-7150</f>
        <v>0</v>
      </c>
      <c r="W109" s="105">
        <v>10000</v>
      </c>
      <c r="X109" s="102">
        <v>10000</v>
      </c>
      <c r="Y109" s="28">
        <f>SUM(S109:W109)</f>
        <v>10000</v>
      </c>
      <c r="Z109" s="28">
        <f>R109-S109-T109-U109-V109</f>
        <v>0</v>
      </c>
    </row>
    <row r="110" spans="1:26" s="4" customFormat="1" ht="12.75">
      <c r="A110" s="201" t="s">
        <v>467</v>
      </c>
      <c r="B110" s="202"/>
      <c r="C110" s="202"/>
      <c r="D110" s="202"/>
      <c r="E110" s="202"/>
      <c r="F110" s="185"/>
      <c r="G110" s="182" t="s">
        <v>468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34">
        <f>R111</f>
        <v>2850.07</v>
      </c>
      <c r="S110" s="53">
        <f aca="true" t="shared" si="37" ref="S110:X112">S111</f>
        <v>0</v>
      </c>
      <c r="T110" s="29">
        <f t="shared" si="37"/>
        <v>2850.07</v>
      </c>
      <c r="U110" s="29">
        <f t="shared" si="37"/>
        <v>0</v>
      </c>
      <c r="V110" s="53">
        <f t="shared" si="37"/>
        <v>0</v>
      </c>
      <c r="W110" s="123">
        <f t="shared" si="37"/>
        <v>0</v>
      </c>
      <c r="X110" s="126">
        <f t="shared" si="37"/>
        <v>0</v>
      </c>
      <c r="Y110" s="109">
        <f>SUM(S110:V110)</f>
        <v>2850.07</v>
      </c>
      <c r="Z110" s="109">
        <f>R110-S110-T110-U110-V110</f>
        <v>0</v>
      </c>
    </row>
    <row r="111" spans="1:26" ht="25.5" customHeight="1">
      <c r="A111" s="192" t="s">
        <v>469</v>
      </c>
      <c r="B111" s="193"/>
      <c r="C111" s="193"/>
      <c r="D111" s="193"/>
      <c r="E111" s="193"/>
      <c r="F111" s="194"/>
      <c r="G111" s="216" t="s">
        <v>470</v>
      </c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48">
        <f>R112</f>
        <v>2850.07</v>
      </c>
      <c r="S111" s="54">
        <f t="shared" si="37"/>
        <v>0</v>
      </c>
      <c r="T111" s="31">
        <f t="shared" si="37"/>
        <v>2850.07</v>
      </c>
      <c r="U111" s="31">
        <f t="shared" si="37"/>
        <v>0</v>
      </c>
      <c r="V111" s="54">
        <f t="shared" si="37"/>
        <v>0</v>
      </c>
      <c r="W111" s="113">
        <f t="shared" si="37"/>
        <v>0</v>
      </c>
      <c r="X111" s="112">
        <f t="shared" si="37"/>
        <v>0</v>
      </c>
      <c r="Y111" s="28">
        <f>SUM(S111:V111)</f>
        <v>2850.07</v>
      </c>
      <c r="Z111" s="28">
        <f>R111-S111-T111-U111-V111</f>
        <v>0</v>
      </c>
    </row>
    <row r="112" spans="1:26" ht="12.75" customHeight="1">
      <c r="A112" s="192" t="s">
        <v>472</v>
      </c>
      <c r="B112" s="193"/>
      <c r="C112" s="193"/>
      <c r="D112" s="193"/>
      <c r="E112" s="193"/>
      <c r="F112" s="194"/>
      <c r="G112" s="216" t="s">
        <v>237</v>
      </c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48">
        <f>R113</f>
        <v>2850.07</v>
      </c>
      <c r="S112" s="54">
        <f t="shared" si="37"/>
        <v>0</v>
      </c>
      <c r="T112" s="31">
        <f t="shared" si="37"/>
        <v>2850.07</v>
      </c>
      <c r="U112" s="31">
        <f t="shared" si="37"/>
        <v>0</v>
      </c>
      <c r="V112" s="54">
        <f t="shared" si="37"/>
        <v>0</v>
      </c>
      <c r="W112" s="113">
        <f t="shared" si="37"/>
        <v>0</v>
      </c>
      <c r="X112" s="112">
        <f t="shared" si="37"/>
        <v>0</v>
      </c>
      <c r="Y112" s="28">
        <f>SUM(S112:V112)</f>
        <v>2850.07</v>
      </c>
      <c r="Z112" s="28">
        <f>R112-S112-T112-U112-V112</f>
        <v>0</v>
      </c>
    </row>
    <row r="113" spans="1:26" ht="12.75" customHeight="1" hidden="1">
      <c r="A113" s="192" t="s">
        <v>471</v>
      </c>
      <c r="B113" s="193"/>
      <c r="C113" s="193"/>
      <c r="D113" s="193"/>
      <c r="E113" s="193"/>
      <c r="F113" s="194"/>
      <c r="G113" s="216" t="s">
        <v>40</v>
      </c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49">
        <f>SUM(S113:V113)</f>
        <v>2850.07</v>
      </c>
      <c r="S113" s="85">
        <v>0</v>
      </c>
      <c r="T113" s="86">
        <f>3000-149.93</f>
        <v>2850.07</v>
      </c>
      <c r="U113" s="86">
        <v>0</v>
      </c>
      <c r="V113" s="85">
        <f>500-500</f>
        <v>0</v>
      </c>
      <c r="W113" s="105">
        <v>0</v>
      </c>
      <c r="X113" s="102">
        <v>0</v>
      </c>
      <c r="Y113" s="28">
        <f>SUM(S113:W113)</f>
        <v>2850.07</v>
      </c>
      <c r="Z113" s="28">
        <f>R113-S113-T113-U113-V113</f>
        <v>0</v>
      </c>
    </row>
    <row r="114" spans="1:26" s="4" customFormat="1" ht="12.75">
      <c r="A114" s="201" t="s">
        <v>249</v>
      </c>
      <c r="B114" s="202"/>
      <c r="C114" s="202"/>
      <c r="D114" s="202"/>
      <c r="E114" s="202"/>
      <c r="F114" s="72"/>
      <c r="G114" s="182" t="s">
        <v>247</v>
      </c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34">
        <f>R115</f>
        <v>20000</v>
      </c>
      <c r="S114" s="53">
        <f aca="true" t="shared" si="38" ref="S114:X118">S115</f>
        <v>0</v>
      </c>
      <c r="T114" s="29">
        <f t="shared" si="38"/>
        <v>5300</v>
      </c>
      <c r="U114" s="29">
        <f t="shared" si="38"/>
        <v>0</v>
      </c>
      <c r="V114" s="53">
        <f t="shared" si="38"/>
        <v>14700</v>
      </c>
      <c r="W114" s="34">
        <f t="shared" si="38"/>
        <v>20000</v>
      </c>
      <c r="X114" s="96">
        <f t="shared" si="38"/>
        <v>20000</v>
      </c>
      <c r="Y114" s="109"/>
      <c r="Z114" s="109">
        <f aca="true" t="shared" si="39" ref="Z114:Z121">R114-S114-T114-U114-V114</f>
        <v>0</v>
      </c>
    </row>
    <row r="115" spans="1:26" s="43" customFormat="1" ht="12.75">
      <c r="A115" s="186" t="s">
        <v>248</v>
      </c>
      <c r="B115" s="181"/>
      <c r="C115" s="181"/>
      <c r="D115" s="181"/>
      <c r="E115" s="181"/>
      <c r="F115" s="41"/>
      <c r="G115" s="184" t="s">
        <v>85</v>
      </c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46">
        <f>R116</f>
        <v>20000</v>
      </c>
      <c r="S115" s="75">
        <f t="shared" si="38"/>
        <v>0</v>
      </c>
      <c r="T115" s="44">
        <f t="shared" si="38"/>
        <v>5300</v>
      </c>
      <c r="U115" s="44">
        <f t="shared" si="38"/>
        <v>0</v>
      </c>
      <c r="V115" s="75">
        <f t="shared" si="38"/>
        <v>14700</v>
      </c>
      <c r="W115" s="46">
        <f t="shared" si="38"/>
        <v>20000</v>
      </c>
      <c r="X115" s="97">
        <f t="shared" si="38"/>
        <v>20000</v>
      </c>
      <c r="Y115" s="42"/>
      <c r="Z115" s="28">
        <f>R115-S115-T115-U115-V115</f>
        <v>0</v>
      </c>
    </row>
    <row r="116" spans="1:26" s="3" customFormat="1" ht="12.75">
      <c r="A116" s="198" t="s">
        <v>250</v>
      </c>
      <c r="B116" s="199"/>
      <c r="C116" s="199"/>
      <c r="D116" s="199"/>
      <c r="E116" s="199"/>
      <c r="F116" s="200"/>
      <c r="G116" s="220" t="s">
        <v>78</v>
      </c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47">
        <f>R117</f>
        <v>20000</v>
      </c>
      <c r="S116" s="77">
        <f t="shared" si="38"/>
        <v>0</v>
      </c>
      <c r="T116" s="30">
        <f t="shared" si="38"/>
        <v>5300</v>
      </c>
      <c r="U116" s="30">
        <f t="shared" si="38"/>
        <v>0</v>
      </c>
      <c r="V116" s="77">
        <f t="shared" si="38"/>
        <v>14700</v>
      </c>
      <c r="W116" s="47">
        <f t="shared" si="38"/>
        <v>20000</v>
      </c>
      <c r="X116" s="98">
        <f t="shared" si="38"/>
        <v>20000</v>
      </c>
      <c r="Y116" s="28">
        <f>SUM(S116:V116)</f>
        <v>20000</v>
      </c>
      <c r="Z116" s="28">
        <f t="shared" si="39"/>
        <v>0</v>
      </c>
    </row>
    <row r="117" spans="1:26" ht="12.75">
      <c r="A117" s="192" t="s">
        <v>251</v>
      </c>
      <c r="B117" s="193"/>
      <c r="C117" s="193"/>
      <c r="D117" s="193"/>
      <c r="E117" s="193"/>
      <c r="F117" s="194"/>
      <c r="G117" s="216" t="s">
        <v>236</v>
      </c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48">
        <f>R118</f>
        <v>20000</v>
      </c>
      <c r="S117" s="54">
        <f t="shared" si="38"/>
        <v>0</v>
      </c>
      <c r="T117" s="31">
        <f t="shared" si="38"/>
        <v>5300</v>
      </c>
      <c r="U117" s="31">
        <f t="shared" si="38"/>
        <v>0</v>
      </c>
      <c r="V117" s="54">
        <f t="shared" si="38"/>
        <v>14700</v>
      </c>
      <c r="W117" s="48">
        <f t="shared" si="38"/>
        <v>20000</v>
      </c>
      <c r="X117" s="99">
        <f t="shared" si="38"/>
        <v>20000</v>
      </c>
      <c r="Y117" s="28">
        <f>SUM(S117:V117)</f>
        <v>20000</v>
      </c>
      <c r="Z117" s="28">
        <f t="shared" si="39"/>
        <v>0</v>
      </c>
    </row>
    <row r="118" spans="1:26" ht="24" customHeight="1">
      <c r="A118" s="192" t="s">
        <v>252</v>
      </c>
      <c r="B118" s="193"/>
      <c r="C118" s="193"/>
      <c r="D118" s="193"/>
      <c r="E118" s="193"/>
      <c r="F118" s="194"/>
      <c r="G118" s="216" t="s">
        <v>190</v>
      </c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48">
        <f>R119</f>
        <v>20000</v>
      </c>
      <c r="S118" s="54">
        <f t="shared" si="38"/>
        <v>0</v>
      </c>
      <c r="T118" s="31">
        <f t="shared" si="38"/>
        <v>5300</v>
      </c>
      <c r="U118" s="31">
        <f t="shared" si="38"/>
        <v>0</v>
      </c>
      <c r="V118" s="54">
        <f t="shared" si="38"/>
        <v>14700</v>
      </c>
      <c r="W118" s="48">
        <f t="shared" si="38"/>
        <v>20000</v>
      </c>
      <c r="X118" s="99">
        <f t="shared" si="38"/>
        <v>20000</v>
      </c>
      <c r="Y118" s="28">
        <f>SUM(S118:V118)</f>
        <v>20000</v>
      </c>
      <c r="Z118" s="28">
        <f>R118-S118-T118-U118-V118</f>
        <v>0</v>
      </c>
    </row>
    <row r="119" spans="1:26" ht="24" customHeight="1">
      <c r="A119" s="192" t="s">
        <v>253</v>
      </c>
      <c r="B119" s="193"/>
      <c r="C119" s="193"/>
      <c r="D119" s="193"/>
      <c r="E119" s="193"/>
      <c r="F119" s="194"/>
      <c r="G119" s="216" t="s">
        <v>237</v>
      </c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48">
        <f>R120+R121</f>
        <v>20000</v>
      </c>
      <c r="S119" s="54">
        <f aca="true" t="shared" si="40" ref="S119:X119">S120+S121</f>
        <v>0</v>
      </c>
      <c r="T119" s="31">
        <f t="shared" si="40"/>
        <v>5300</v>
      </c>
      <c r="U119" s="31">
        <f t="shared" si="40"/>
        <v>0</v>
      </c>
      <c r="V119" s="54">
        <f t="shared" si="40"/>
        <v>14700</v>
      </c>
      <c r="W119" s="48">
        <f t="shared" si="40"/>
        <v>20000</v>
      </c>
      <c r="X119" s="99">
        <f t="shared" si="40"/>
        <v>20000</v>
      </c>
      <c r="Y119" s="28">
        <f>SUM(S119:V119)</f>
        <v>20000</v>
      </c>
      <c r="Z119" s="28">
        <f>R119-S119-T119-U119-V119</f>
        <v>0</v>
      </c>
    </row>
    <row r="120" spans="1:26" s="111" customFormat="1" ht="12.75" hidden="1">
      <c r="A120" s="177" t="s">
        <v>254</v>
      </c>
      <c r="B120" s="178"/>
      <c r="C120" s="178"/>
      <c r="D120" s="178"/>
      <c r="E120" s="178"/>
      <c r="F120" s="203"/>
      <c r="G120" s="233" t="s">
        <v>43</v>
      </c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105">
        <f>SUM(S120:V120)</f>
        <v>20000</v>
      </c>
      <c r="S120" s="85">
        <v>0</v>
      </c>
      <c r="T120" s="86">
        <v>5300</v>
      </c>
      <c r="U120" s="86">
        <v>0</v>
      </c>
      <c r="V120" s="85">
        <f>14700</f>
        <v>14700</v>
      </c>
      <c r="W120" s="105">
        <v>0</v>
      </c>
      <c r="X120" s="102">
        <v>0</v>
      </c>
      <c r="Y120" s="110">
        <f>SUM(S120:X120)</f>
        <v>20000</v>
      </c>
      <c r="Z120" s="110">
        <f t="shared" si="39"/>
        <v>0</v>
      </c>
    </row>
    <row r="121" spans="1:26" s="111" customFormat="1" ht="12.75" hidden="1">
      <c r="A121" s="177" t="s">
        <v>255</v>
      </c>
      <c r="B121" s="178"/>
      <c r="C121" s="178"/>
      <c r="D121" s="178"/>
      <c r="E121" s="178"/>
      <c r="F121" s="203"/>
      <c r="G121" s="224" t="s">
        <v>70</v>
      </c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105">
        <f>SUM(S121:V121)</f>
        <v>0</v>
      </c>
      <c r="S121" s="85">
        <f>5000-5000</f>
        <v>0</v>
      </c>
      <c r="T121" s="86">
        <f>5000-300-4700</f>
        <v>0</v>
      </c>
      <c r="U121" s="86">
        <f>5000-5000</f>
        <v>0</v>
      </c>
      <c r="V121" s="85">
        <f>5000-5000</f>
        <v>0</v>
      </c>
      <c r="W121" s="105">
        <v>20000</v>
      </c>
      <c r="X121" s="102">
        <v>20000</v>
      </c>
      <c r="Y121" s="110">
        <f>SUM(S121:X121)</f>
        <v>40000</v>
      </c>
      <c r="Z121" s="110">
        <f t="shared" si="39"/>
        <v>0</v>
      </c>
    </row>
    <row r="122" spans="1:26" ht="16.5" customHeight="1">
      <c r="A122" s="201" t="s">
        <v>116</v>
      </c>
      <c r="B122" s="202"/>
      <c r="C122" s="202"/>
      <c r="D122" s="202"/>
      <c r="E122" s="202"/>
      <c r="F122" s="72"/>
      <c r="G122" s="288" t="s">
        <v>98</v>
      </c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34">
        <f aca="true" t="shared" si="41" ref="R122:X123">R123</f>
        <v>591094.23</v>
      </c>
      <c r="S122" s="53">
        <f t="shared" si="41"/>
        <v>5000</v>
      </c>
      <c r="T122" s="29">
        <f t="shared" si="41"/>
        <v>562096</v>
      </c>
      <c r="U122" s="29">
        <f t="shared" si="41"/>
        <v>6604</v>
      </c>
      <c r="V122" s="53">
        <f t="shared" si="41"/>
        <v>17394.23</v>
      </c>
      <c r="W122" s="34">
        <f t="shared" si="41"/>
        <v>277400</v>
      </c>
      <c r="X122" s="96">
        <f t="shared" si="41"/>
        <v>284100</v>
      </c>
      <c r="Y122" s="28"/>
      <c r="Z122" s="28">
        <f>R122-S122-T122-U122-V122</f>
        <v>0</v>
      </c>
    </row>
    <row r="123" spans="1:26" ht="24.75" customHeight="1">
      <c r="A123" s="186" t="s">
        <v>117</v>
      </c>
      <c r="B123" s="181"/>
      <c r="C123" s="181"/>
      <c r="D123" s="181"/>
      <c r="E123" s="181"/>
      <c r="F123" s="211"/>
      <c r="G123" s="231" t="s">
        <v>99</v>
      </c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46">
        <f t="shared" si="41"/>
        <v>591094.23</v>
      </c>
      <c r="S123" s="75">
        <f t="shared" si="41"/>
        <v>5000</v>
      </c>
      <c r="T123" s="44">
        <f t="shared" si="41"/>
        <v>562096</v>
      </c>
      <c r="U123" s="44">
        <f t="shared" si="41"/>
        <v>6604</v>
      </c>
      <c r="V123" s="75">
        <f t="shared" si="41"/>
        <v>17394.23</v>
      </c>
      <c r="W123" s="46">
        <f t="shared" si="41"/>
        <v>277400</v>
      </c>
      <c r="X123" s="97">
        <f t="shared" si="41"/>
        <v>284100</v>
      </c>
      <c r="Y123" s="28"/>
      <c r="Z123" s="28">
        <f>R123-S123-T123-U123-V123</f>
        <v>0</v>
      </c>
    </row>
    <row r="124" spans="1:26" ht="24.75" customHeight="1">
      <c r="A124" s="198" t="s">
        <v>118</v>
      </c>
      <c r="B124" s="199"/>
      <c r="C124" s="199"/>
      <c r="D124" s="199"/>
      <c r="E124" s="199"/>
      <c r="F124" s="73"/>
      <c r="G124" s="290" t="s">
        <v>100</v>
      </c>
      <c r="H124" s="291"/>
      <c r="I124" s="291"/>
      <c r="J124" s="291"/>
      <c r="K124" s="291"/>
      <c r="L124" s="291"/>
      <c r="M124" s="291"/>
      <c r="N124" s="291"/>
      <c r="O124" s="291"/>
      <c r="P124" s="291"/>
      <c r="Q124" s="291"/>
      <c r="R124" s="47">
        <f>R125+R132</f>
        <v>591094.23</v>
      </c>
      <c r="S124" s="77">
        <f aca="true" t="shared" si="42" ref="S124:X124">S125+S132</f>
        <v>5000</v>
      </c>
      <c r="T124" s="30">
        <f t="shared" si="42"/>
        <v>562096</v>
      </c>
      <c r="U124" s="30">
        <f t="shared" si="42"/>
        <v>6604</v>
      </c>
      <c r="V124" s="77">
        <f t="shared" si="42"/>
        <v>17394.23</v>
      </c>
      <c r="W124" s="47">
        <f t="shared" si="42"/>
        <v>277400</v>
      </c>
      <c r="X124" s="98">
        <f t="shared" si="42"/>
        <v>284100</v>
      </c>
      <c r="Y124" s="28"/>
      <c r="Z124" s="28">
        <f>R124-S124-T124-U124-V124</f>
        <v>0</v>
      </c>
    </row>
    <row r="125" spans="1:26" ht="48.75" customHeight="1">
      <c r="A125" s="192" t="s">
        <v>422</v>
      </c>
      <c r="B125" s="193"/>
      <c r="C125" s="193"/>
      <c r="D125" s="193"/>
      <c r="E125" s="193"/>
      <c r="F125" s="194"/>
      <c r="G125" s="216" t="s">
        <v>207</v>
      </c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48">
        <f>R126</f>
        <v>366994.93</v>
      </c>
      <c r="S125" s="54">
        <f aca="true" t="shared" si="43" ref="S125:X125">S126</f>
        <v>0</v>
      </c>
      <c r="T125" s="31">
        <f t="shared" si="43"/>
        <v>350614</v>
      </c>
      <c r="U125" s="31">
        <f t="shared" si="43"/>
        <v>0</v>
      </c>
      <c r="V125" s="54">
        <f t="shared" si="43"/>
        <v>16380.93</v>
      </c>
      <c r="W125" s="48">
        <f t="shared" si="43"/>
        <v>0</v>
      </c>
      <c r="X125" s="99">
        <f t="shared" si="43"/>
        <v>0</v>
      </c>
      <c r="Y125" s="28">
        <f>SUM(S125:V125)</f>
        <v>366994.93</v>
      </c>
      <c r="Z125" s="28">
        <f aca="true" t="shared" si="44" ref="Z125:Z170">R125-S125-T125-U125-V125</f>
        <v>0</v>
      </c>
    </row>
    <row r="126" spans="1:26" ht="24" customHeight="1">
      <c r="A126" s="192" t="s">
        <v>423</v>
      </c>
      <c r="B126" s="193"/>
      <c r="C126" s="193"/>
      <c r="D126" s="193"/>
      <c r="E126" s="193"/>
      <c r="F126" s="194"/>
      <c r="G126" s="216" t="s">
        <v>209</v>
      </c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48">
        <f>R127+R130</f>
        <v>366994.93</v>
      </c>
      <c r="S126" s="54">
        <f aca="true" t="shared" si="45" ref="S126:X126">S127+S130</f>
        <v>0</v>
      </c>
      <c r="T126" s="31">
        <f t="shared" si="45"/>
        <v>350614</v>
      </c>
      <c r="U126" s="31">
        <f t="shared" si="45"/>
        <v>0</v>
      </c>
      <c r="V126" s="54">
        <f t="shared" si="45"/>
        <v>16380.93</v>
      </c>
      <c r="W126" s="48">
        <f t="shared" si="45"/>
        <v>0</v>
      </c>
      <c r="X126" s="99">
        <f t="shared" si="45"/>
        <v>0</v>
      </c>
      <c r="Y126" s="28">
        <f>SUM(S126:V126)</f>
        <v>366994.93</v>
      </c>
      <c r="Z126" s="28">
        <f t="shared" si="44"/>
        <v>0</v>
      </c>
    </row>
    <row r="127" spans="1:26" ht="12.75">
      <c r="A127" s="192" t="s">
        <v>424</v>
      </c>
      <c r="B127" s="193"/>
      <c r="C127" s="193"/>
      <c r="D127" s="193"/>
      <c r="E127" s="193"/>
      <c r="F127" s="194"/>
      <c r="G127" s="216" t="s">
        <v>212</v>
      </c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48">
        <f>R128+R129</f>
        <v>366994.93</v>
      </c>
      <c r="S127" s="54">
        <f aca="true" t="shared" si="46" ref="S127:X127">S128+S129</f>
        <v>0</v>
      </c>
      <c r="T127" s="31">
        <f t="shared" si="46"/>
        <v>350614</v>
      </c>
      <c r="U127" s="31">
        <f t="shared" si="46"/>
        <v>0</v>
      </c>
      <c r="V127" s="54">
        <f t="shared" si="46"/>
        <v>16380.93</v>
      </c>
      <c r="W127" s="48">
        <f t="shared" si="46"/>
        <v>0</v>
      </c>
      <c r="X127" s="99">
        <f t="shared" si="46"/>
        <v>0</v>
      </c>
      <c r="Y127" s="28">
        <f>SUM(S127:V127)</f>
        <v>366994.93</v>
      </c>
      <c r="Z127" s="28">
        <f t="shared" si="44"/>
        <v>0</v>
      </c>
    </row>
    <row r="128" spans="1:26" ht="12.75" hidden="1">
      <c r="A128" s="192" t="s">
        <v>425</v>
      </c>
      <c r="B128" s="193"/>
      <c r="C128" s="193"/>
      <c r="D128" s="193"/>
      <c r="E128" s="193"/>
      <c r="F128" s="194"/>
      <c r="G128" s="216" t="s">
        <v>33</v>
      </c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49">
        <f>SUM(S128:V128)</f>
        <v>281824.31</v>
      </c>
      <c r="S128" s="85">
        <v>0</v>
      </c>
      <c r="T128" s="86">
        <f>298000-28000</f>
        <v>270000</v>
      </c>
      <c r="U128" s="86">
        <v>0</v>
      </c>
      <c r="V128" s="85">
        <f>6439.83+5384.48</f>
        <v>11824.31</v>
      </c>
      <c r="W128" s="105">
        <v>0</v>
      </c>
      <c r="X128" s="102">
        <v>0</v>
      </c>
      <c r="Y128" s="28">
        <f>SUM(S128:X128)</f>
        <v>281824.31</v>
      </c>
      <c r="Z128" s="28">
        <f t="shared" si="44"/>
        <v>0</v>
      </c>
    </row>
    <row r="129" spans="1:26" ht="12.75" hidden="1">
      <c r="A129" s="192" t="s">
        <v>426</v>
      </c>
      <c r="B129" s="193"/>
      <c r="C129" s="193"/>
      <c r="D129" s="193"/>
      <c r="E129" s="193"/>
      <c r="F129" s="194"/>
      <c r="G129" s="216" t="s">
        <v>34</v>
      </c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49">
        <f>SUM(S129:V129)</f>
        <v>85170.62</v>
      </c>
      <c r="S129" s="85">
        <v>0</v>
      </c>
      <c r="T129" s="86">
        <f>80614</f>
        <v>80614</v>
      </c>
      <c r="U129" s="86">
        <v>0</v>
      </c>
      <c r="V129" s="85">
        <f>1353.19+2532.11+671.32</f>
        <v>4556.62</v>
      </c>
      <c r="W129" s="105">
        <v>0</v>
      </c>
      <c r="X129" s="102">
        <v>0</v>
      </c>
      <c r="Y129" s="28">
        <f>SUM(S129:X129)</f>
        <v>85170.62</v>
      </c>
      <c r="Z129" s="28">
        <f t="shared" si="44"/>
        <v>0</v>
      </c>
    </row>
    <row r="130" spans="1:26" ht="12.75" hidden="1">
      <c r="A130" s="192" t="s">
        <v>427</v>
      </c>
      <c r="B130" s="193"/>
      <c r="C130" s="193"/>
      <c r="D130" s="193"/>
      <c r="E130" s="193"/>
      <c r="F130" s="194"/>
      <c r="G130" s="216" t="s">
        <v>219</v>
      </c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48">
        <f>R131</f>
        <v>0</v>
      </c>
      <c r="S130" s="54">
        <f aca="true" t="shared" si="47" ref="S130:X130">S131</f>
        <v>0</v>
      </c>
      <c r="T130" s="31">
        <f t="shared" si="47"/>
        <v>0</v>
      </c>
      <c r="U130" s="31">
        <f t="shared" si="47"/>
        <v>0</v>
      </c>
      <c r="V130" s="54">
        <f t="shared" si="47"/>
        <v>0</v>
      </c>
      <c r="W130" s="48">
        <f t="shared" si="47"/>
        <v>0</v>
      </c>
      <c r="X130" s="99">
        <f t="shared" si="47"/>
        <v>0</v>
      </c>
      <c r="Y130" s="28">
        <f>SUM(S130:V130)</f>
        <v>0</v>
      </c>
      <c r="Z130" s="28">
        <f t="shared" si="44"/>
        <v>0</v>
      </c>
    </row>
    <row r="131" spans="1:26" ht="12.75" hidden="1">
      <c r="A131" s="192" t="s">
        <v>428</v>
      </c>
      <c r="B131" s="193"/>
      <c r="C131" s="193"/>
      <c r="D131" s="193"/>
      <c r="E131" s="193"/>
      <c r="F131" s="194"/>
      <c r="G131" s="216" t="s">
        <v>37</v>
      </c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49">
        <f>SUM(S131:V131)</f>
        <v>0</v>
      </c>
      <c r="S131" s="85">
        <v>0</v>
      </c>
      <c r="T131" s="86">
        <v>0</v>
      </c>
      <c r="U131" s="86">
        <v>0</v>
      </c>
      <c r="V131" s="85">
        <v>0</v>
      </c>
      <c r="W131" s="105">
        <f>R131</f>
        <v>0</v>
      </c>
      <c r="X131" s="102">
        <f>W131</f>
        <v>0</v>
      </c>
      <c r="Y131" s="28">
        <f>SUM(S131:X131)</f>
        <v>0</v>
      </c>
      <c r="Z131" s="28">
        <f t="shared" si="44"/>
        <v>0</v>
      </c>
    </row>
    <row r="132" spans="1:26" ht="12.75">
      <c r="A132" s="192" t="s">
        <v>288</v>
      </c>
      <c r="B132" s="193"/>
      <c r="C132" s="193"/>
      <c r="D132" s="193"/>
      <c r="E132" s="193"/>
      <c r="F132" s="194"/>
      <c r="G132" s="216" t="s">
        <v>236</v>
      </c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48">
        <f aca="true" t="shared" si="48" ref="R132:X133">R133</f>
        <v>224099.3</v>
      </c>
      <c r="S132" s="54">
        <f t="shared" si="48"/>
        <v>5000</v>
      </c>
      <c r="T132" s="31">
        <f t="shared" si="48"/>
        <v>211482</v>
      </c>
      <c r="U132" s="31">
        <f t="shared" si="48"/>
        <v>6604</v>
      </c>
      <c r="V132" s="54">
        <f t="shared" si="48"/>
        <v>1013.3000000000002</v>
      </c>
      <c r="W132" s="48">
        <f t="shared" si="48"/>
        <v>277400</v>
      </c>
      <c r="X132" s="99">
        <f t="shared" si="48"/>
        <v>284100</v>
      </c>
      <c r="Y132" s="28">
        <f>SUM(S132:V132)</f>
        <v>224099.3</v>
      </c>
      <c r="Z132" s="28">
        <f t="shared" si="44"/>
        <v>-1.1823431123048067E-11</v>
      </c>
    </row>
    <row r="133" spans="1:26" ht="24" customHeight="1">
      <c r="A133" s="192" t="s">
        <v>289</v>
      </c>
      <c r="B133" s="193"/>
      <c r="C133" s="193"/>
      <c r="D133" s="193"/>
      <c r="E133" s="193"/>
      <c r="F133" s="194"/>
      <c r="G133" s="216" t="s">
        <v>190</v>
      </c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48">
        <f t="shared" si="48"/>
        <v>224099.3</v>
      </c>
      <c r="S133" s="54">
        <f t="shared" si="48"/>
        <v>5000</v>
      </c>
      <c r="T133" s="31">
        <f t="shared" si="48"/>
        <v>211482</v>
      </c>
      <c r="U133" s="31">
        <f t="shared" si="48"/>
        <v>6604</v>
      </c>
      <c r="V133" s="54">
        <f t="shared" si="48"/>
        <v>1013.3000000000002</v>
      </c>
      <c r="W133" s="48">
        <f t="shared" si="48"/>
        <v>277400</v>
      </c>
      <c r="X133" s="99">
        <f t="shared" si="48"/>
        <v>284100</v>
      </c>
      <c r="Y133" s="28">
        <f>SUM(S133:V133)</f>
        <v>224099.3</v>
      </c>
      <c r="Z133" s="28">
        <f t="shared" si="44"/>
        <v>-1.1823431123048067E-11</v>
      </c>
    </row>
    <row r="134" spans="1:26" ht="24" customHeight="1">
      <c r="A134" s="192" t="s">
        <v>290</v>
      </c>
      <c r="B134" s="193"/>
      <c r="C134" s="193"/>
      <c r="D134" s="193"/>
      <c r="E134" s="193"/>
      <c r="F134" s="194"/>
      <c r="G134" s="216" t="s">
        <v>237</v>
      </c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48">
        <f>SUM(R135:R139)</f>
        <v>224099.3</v>
      </c>
      <c r="S134" s="54">
        <f aca="true" t="shared" si="49" ref="S134:X134">SUM(S135:S139)</f>
        <v>5000</v>
      </c>
      <c r="T134" s="31">
        <f t="shared" si="49"/>
        <v>211482</v>
      </c>
      <c r="U134" s="31">
        <f t="shared" si="49"/>
        <v>6604</v>
      </c>
      <c r="V134" s="54">
        <f t="shared" si="49"/>
        <v>1013.3000000000002</v>
      </c>
      <c r="W134" s="113">
        <f t="shared" si="49"/>
        <v>277400</v>
      </c>
      <c r="X134" s="112">
        <f t="shared" si="49"/>
        <v>284100</v>
      </c>
      <c r="Y134" s="28">
        <f>SUM(S134:V134)</f>
        <v>224099.3</v>
      </c>
      <c r="Z134" s="28">
        <f t="shared" si="44"/>
        <v>-1.1823431123048067E-11</v>
      </c>
    </row>
    <row r="135" spans="1:26" ht="12.75" customHeight="1" hidden="1">
      <c r="A135" s="192" t="s">
        <v>291</v>
      </c>
      <c r="B135" s="193"/>
      <c r="C135" s="193"/>
      <c r="D135" s="193"/>
      <c r="E135" s="193"/>
      <c r="F135" s="38"/>
      <c r="G135" s="216" t="s">
        <v>39</v>
      </c>
      <c r="H135" s="217"/>
      <c r="I135" s="217"/>
      <c r="J135" s="217"/>
      <c r="K135" s="217"/>
      <c r="L135" s="217"/>
      <c r="M135" s="217"/>
      <c r="N135" s="217"/>
      <c r="O135" s="217"/>
      <c r="P135" s="139"/>
      <c r="Q135" s="139"/>
      <c r="R135" s="49">
        <f>S135+T135+U135+V135</f>
        <v>0</v>
      </c>
      <c r="S135" s="85">
        <f>1250-1250</f>
        <v>0</v>
      </c>
      <c r="T135" s="86">
        <f>1250-1250</f>
        <v>0</v>
      </c>
      <c r="U135" s="86">
        <f>1250-1250</f>
        <v>0</v>
      </c>
      <c r="V135" s="85">
        <f>1250-1250</f>
        <v>0</v>
      </c>
      <c r="W135" s="105">
        <v>5000</v>
      </c>
      <c r="X135" s="102">
        <v>5000</v>
      </c>
      <c r="Y135" s="28"/>
      <c r="Z135" s="28">
        <f t="shared" si="44"/>
        <v>0</v>
      </c>
    </row>
    <row r="136" spans="1:26" ht="12.75" customHeight="1" hidden="1">
      <c r="A136" s="192" t="s">
        <v>292</v>
      </c>
      <c r="B136" s="193"/>
      <c r="C136" s="193"/>
      <c r="D136" s="193"/>
      <c r="E136" s="193"/>
      <c r="F136" s="38"/>
      <c r="G136" s="216" t="s">
        <v>41</v>
      </c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49">
        <f>S136+T136+U136+V136</f>
        <v>16013.3</v>
      </c>
      <c r="S136" s="85">
        <f>5000</f>
        <v>5000</v>
      </c>
      <c r="T136" s="86">
        <f>5000</f>
        <v>5000</v>
      </c>
      <c r="U136" s="86">
        <f>5000</f>
        <v>5000</v>
      </c>
      <c r="V136" s="85">
        <f>5000-3986.7</f>
        <v>1013.3000000000002</v>
      </c>
      <c r="W136" s="105">
        <v>20000</v>
      </c>
      <c r="X136" s="102">
        <v>20000</v>
      </c>
      <c r="Y136" s="28"/>
      <c r="Z136" s="28">
        <f t="shared" si="44"/>
        <v>-9.094947017729282E-13</v>
      </c>
    </row>
    <row r="137" spans="1:26" ht="12.75" customHeight="1" hidden="1">
      <c r="A137" s="192" t="s">
        <v>293</v>
      </c>
      <c r="B137" s="193"/>
      <c r="C137" s="193"/>
      <c r="D137" s="193"/>
      <c r="E137" s="193"/>
      <c r="F137" s="38"/>
      <c r="G137" s="216" t="s">
        <v>42</v>
      </c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49">
        <f>S137+T137+U137+V137</f>
        <v>8104</v>
      </c>
      <c r="S137" s="85">
        <f>34000-34000</f>
        <v>0</v>
      </c>
      <c r="T137" s="86">
        <f>40500-15990-18010</f>
        <v>6500</v>
      </c>
      <c r="U137" s="86">
        <f>34000-22982-9414</f>
        <v>1604</v>
      </c>
      <c r="V137" s="85">
        <f>34000-34000</f>
        <v>0</v>
      </c>
      <c r="W137" s="105">
        <v>152400</v>
      </c>
      <c r="X137" s="102">
        <v>159100</v>
      </c>
      <c r="Y137" s="28"/>
      <c r="Z137" s="28">
        <f t="shared" si="44"/>
        <v>0</v>
      </c>
    </row>
    <row r="138" spans="1:26" ht="12.75" hidden="1">
      <c r="A138" s="192" t="s">
        <v>294</v>
      </c>
      <c r="B138" s="193"/>
      <c r="C138" s="193"/>
      <c r="D138" s="193"/>
      <c r="E138" s="193"/>
      <c r="F138" s="38"/>
      <c r="G138" s="216" t="s">
        <v>43</v>
      </c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49">
        <f>S138+T138+U138+V138</f>
        <v>199982</v>
      </c>
      <c r="S138" s="85">
        <v>0</v>
      </c>
      <c r="T138" s="86">
        <f>99990+99992</f>
        <v>199982</v>
      </c>
      <c r="U138" s="86">
        <v>0</v>
      </c>
      <c r="V138" s="85">
        <v>0</v>
      </c>
      <c r="W138" s="105">
        <v>0</v>
      </c>
      <c r="X138" s="102">
        <v>0</v>
      </c>
      <c r="Y138" s="28"/>
      <c r="Z138" s="28">
        <f t="shared" si="44"/>
        <v>0</v>
      </c>
    </row>
    <row r="139" spans="1:26" ht="12.75" hidden="1">
      <c r="A139" s="192" t="s">
        <v>295</v>
      </c>
      <c r="B139" s="193"/>
      <c r="C139" s="193"/>
      <c r="D139" s="193"/>
      <c r="E139" s="194"/>
      <c r="F139" s="216" t="s">
        <v>70</v>
      </c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49">
        <f>S139+T139+U139+V139</f>
        <v>0</v>
      </c>
      <c r="S139" s="85">
        <f>25000-25000</f>
        <v>0</v>
      </c>
      <c r="T139" s="86">
        <f>25000-25000</f>
        <v>0</v>
      </c>
      <c r="U139" s="86">
        <f>25000-15000-10000</f>
        <v>0</v>
      </c>
      <c r="V139" s="85">
        <f>25000-25000</f>
        <v>0</v>
      </c>
      <c r="W139" s="105">
        <v>100000</v>
      </c>
      <c r="X139" s="102">
        <v>100000</v>
      </c>
      <c r="Y139" s="28"/>
      <c r="Z139" s="28">
        <f t="shared" si="44"/>
        <v>0</v>
      </c>
    </row>
    <row r="140" spans="1:26" ht="27.75" customHeight="1" hidden="1">
      <c r="A140" s="201" t="s">
        <v>429</v>
      </c>
      <c r="B140" s="202"/>
      <c r="C140" s="202"/>
      <c r="D140" s="202"/>
      <c r="E140" s="202"/>
      <c r="F140" s="72"/>
      <c r="G140" s="288" t="s">
        <v>432</v>
      </c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34">
        <f>R141</f>
        <v>0</v>
      </c>
      <c r="S140" s="53">
        <f aca="true" t="shared" si="50" ref="S140:X144">S141</f>
        <v>0</v>
      </c>
      <c r="T140" s="29">
        <f t="shared" si="50"/>
        <v>0</v>
      </c>
      <c r="U140" s="29">
        <f t="shared" si="50"/>
        <v>0</v>
      </c>
      <c r="V140" s="53">
        <f t="shared" si="50"/>
        <v>0</v>
      </c>
      <c r="W140" s="34">
        <f t="shared" si="50"/>
        <v>0</v>
      </c>
      <c r="X140" s="96">
        <f t="shared" si="50"/>
        <v>0</v>
      </c>
      <c r="Y140" s="28"/>
      <c r="Z140" s="28">
        <f t="shared" si="44"/>
        <v>0</v>
      </c>
    </row>
    <row r="141" spans="1:26" ht="24.75" customHeight="1" hidden="1">
      <c r="A141" s="186" t="s">
        <v>476</v>
      </c>
      <c r="B141" s="181"/>
      <c r="C141" s="181"/>
      <c r="D141" s="181"/>
      <c r="E141" s="181"/>
      <c r="F141" s="211"/>
      <c r="G141" s="231" t="s">
        <v>475</v>
      </c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46">
        <f>R142</f>
        <v>0</v>
      </c>
      <c r="S141" s="75">
        <f t="shared" si="50"/>
        <v>0</v>
      </c>
      <c r="T141" s="44">
        <f t="shared" si="50"/>
        <v>0</v>
      </c>
      <c r="U141" s="44">
        <f t="shared" si="50"/>
        <v>0</v>
      </c>
      <c r="V141" s="75">
        <f t="shared" si="50"/>
        <v>0</v>
      </c>
      <c r="W141" s="46">
        <f t="shared" si="50"/>
        <v>0</v>
      </c>
      <c r="X141" s="97">
        <f t="shared" si="50"/>
        <v>0</v>
      </c>
      <c r="Y141" s="28"/>
      <c r="Z141" s="28">
        <f t="shared" si="44"/>
        <v>0</v>
      </c>
    </row>
    <row r="142" spans="1:26" ht="12.75" hidden="1">
      <c r="A142" s="198" t="s">
        <v>476</v>
      </c>
      <c r="B142" s="199"/>
      <c r="C142" s="199"/>
      <c r="D142" s="199"/>
      <c r="E142" s="199"/>
      <c r="F142" s="73"/>
      <c r="G142" s="290" t="s">
        <v>433</v>
      </c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47">
        <f>R143</f>
        <v>0</v>
      </c>
      <c r="S142" s="77">
        <f t="shared" si="50"/>
        <v>0</v>
      </c>
      <c r="T142" s="30">
        <f t="shared" si="50"/>
        <v>0</v>
      </c>
      <c r="U142" s="30">
        <f t="shared" si="50"/>
        <v>0</v>
      </c>
      <c r="V142" s="77">
        <f t="shared" si="50"/>
        <v>0</v>
      </c>
      <c r="W142" s="47">
        <f t="shared" si="50"/>
        <v>0</v>
      </c>
      <c r="X142" s="98">
        <f t="shared" si="50"/>
        <v>0</v>
      </c>
      <c r="Y142" s="28"/>
      <c r="Z142" s="28">
        <f t="shared" si="44"/>
        <v>0</v>
      </c>
    </row>
    <row r="143" spans="1:26" ht="12.75" hidden="1">
      <c r="A143" s="192" t="s">
        <v>477</v>
      </c>
      <c r="B143" s="193"/>
      <c r="C143" s="193"/>
      <c r="D143" s="193"/>
      <c r="E143" s="193"/>
      <c r="F143" s="194"/>
      <c r="G143" s="216" t="s">
        <v>236</v>
      </c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48">
        <f>R144</f>
        <v>0</v>
      </c>
      <c r="S143" s="54">
        <f t="shared" si="50"/>
        <v>0</v>
      </c>
      <c r="T143" s="31">
        <f t="shared" si="50"/>
        <v>0</v>
      </c>
      <c r="U143" s="31">
        <f t="shared" si="50"/>
        <v>0</v>
      </c>
      <c r="V143" s="54">
        <f t="shared" si="50"/>
        <v>0</v>
      </c>
      <c r="W143" s="48">
        <f t="shared" si="50"/>
        <v>0</v>
      </c>
      <c r="X143" s="99">
        <f t="shared" si="50"/>
        <v>0</v>
      </c>
      <c r="Y143" s="28">
        <f>SUM(S143:V143)</f>
        <v>0</v>
      </c>
      <c r="Z143" s="28">
        <f t="shared" si="44"/>
        <v>0</v>
      </c>
    </row>
    <row r="144" spans="1:26" ht="24" customHeight="1" hidden="1">
      <c r="A144" s="192" t="s">
        <v>478</v>
      </c>
      <c r="B144" s="193"/>
      <c r="C144" s="193"/>
      <c r="D144" s="193"/>
      <c r="E144" s="193"/>
      <c r="F144" s="194"/>
      <c r="G144" s="216" t="s">
        <v>190</v>
      </c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48">
        <f>R145</f>
        <v>0</v>
      </c>
      <c r="S144" s="54">
        <f t="shared" si="50"/>
        <v>0</v>
      </c>
      <c r="T144" s="31">
        <f t="shared" si="50"/>
        <v>0</v>
      </c>
      <c r="U144" s="31">
        <f t="shared" si="50"/>
        <v>0</v>
      </c>
      <c r="V144" s="54">
        <f t="shared" si="50"/>
        <v>0</v>
      </c>
      <c r="W144" s="48">
        <f t="shared" si="50"/>
        <v>0</v>
      </c>
      <c r="X144" s="99">
        <f t="shared" si="50"/>
        <v>0</v>
      </c>
      <c r="Y144" s="28">
        <f>SUM(S144:V144)</f>
        <v>0</v>
      </c>
      <c r="Z144" s="28">
        <f t="shared" si="44"/>
        <v>0</v>
      </c>
    </row>
    <row r="145" spans="1:26" ht="24" customHeight="1" hidden="1">
      <c r="A145" s="192" t="s">
        <v>479</v>
      </c>
      <c r="B145" s="193"/>
      <c r="C145" s="193"/>
      <c r="D145" s="193"/>
      <c r="E145" s="193"/>
      <c r="F145" s="194"/>
      <c r="G145" s="216" t="s">
        <v>237</v>
      </c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48">
        <f>SUM(R146:R150)</f>
        <v>0</v>
      </c>
      <c r="S145" s="54">
        <f aca="true" t="shared" si="51" ref="S145:X145">SUM(S146:S150)</f>
        <v>0</v>
      </c>
      <c r="T145" s="31">
        <f t="shared" si="51"/>
        <v>0</v>
      </c>
      <c r="U145" s="31">
        <f t="shared" si="51"/>
        <v>0</v>
      </c>
      <c r="V145" s="54">
        <f t="shared" si="51"/>
        <v>0</v>
      </c>
      <c r="W145" s="113">
        <f t="shared" si="51"/>
        <v>0</v>
      </c>
      <c r="X145" s="112">
        <f t="shared" si="51"/>
        <v>0</v>
      </c>
      <c r="Y145" s="28">
        <f>SUM(S145:V145)</f>
        <v>0</v>
      </c>
      <c r="Z145" s="28">
        <f t="shared" si="44"/>
        <v>0</v>
      </c>
    </row>
    <row r="146" spans="1:26" ht="12.75" customHeight="1" hidden="1">
      <c r="A146" s="192" t="s">
        <v>430</v>
      </c>
      <c r="B146" s="193"/>
      <c r="C146" s="193"/>
      <c r="D146" s="193"/>
      <c r="E146" s="193"/>
      <c r="F146" s="38"/>
      <c r="G146" s="216" t="s">
        <v>39</v>
      </c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49">
        <f>S146+T146+U146+V146</f>
        <v>0</v>
      </c>
      <c r="S146" s="85">
        <v>0</v>
      </c>
      <c r="T146" s="86">
        <v>0</v>
      </c>
      <c r="U146" s="86">
        <v>0</v>
      </c>
      <c r="V146" s="85">
        <v>0</v>
      </c>
      <c r="W146" s="105">
        <v>0</v>
      </c>
      <c r="X146" s="102">
        <v>0</v>
      </c>
      <c r="Y146" s="28"/>
      <c r="Z146" s="28">
        <f t="shared" si="44"/>
        <v>0</v>
      </c>
    </row>
    <row r="147" spans="1:26" ht="12.75" customHeight="1" hidden="1">
      <c r="A147" s="192" t="s">
        <v>473</v>
      </c>
      <c r="B147" s="193"/>
      <c r="C147" s="193"/>
      <c r="D147" s="193"/>
      <c r="E147" s="193"/>
      <c r="F147" s="38"/>
      <c r="G147" s="216" t="s">
        <v>41</v>
      </c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49">
        <f>S147+T147+U147+V147</f>
        <v>0</v>
      </c>
      <c r="S147" s="85">
        <v>0</v>
      </c>
      <c r="T147" s="86">
        <f>1000-1000</f>
        <v>0</v>
      </c>
      <c r="U147" s="86">
        <v>0</v>
      </c>
      <c r="V147" s="85">
        <v>0</v>
      </c>
      <c r="W147" s="105">
        <v>0</v>
      </c>
      <c r="X147" s="102">
        <v>0</v>
      </c>
      <c r="Y147" s="28"/>
      <c r="Z147" s="28">
        <f t="shared" si="44"/>
        <v>0</v>
      </c>
    </row>
    <row r="148" spans="1:26" ht="12.75" hidden="1">
      <c r="A148" s="192" t="s">
        <v>431</v>
      </c>
      <c r="B148" s="193"/>
      <c r="C148" s="193"/>
      <c r="D148" s="193"/>
      <c r="E148" s="193"/>
      <c r="F148" s="38"/>
      <c r="G148" s="216" t="s">
        <v>42</v>
      </c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49">
        <f>S148+T148+U148+V148</f>
        <v>0</v>
      </c>
      <c r="S148" s="85">
        <v>0</v>
      </c>
      <c r="T148" s="86">
        <v>0</v>
      </c>
      <c r="U148" s="86">
        <v>0</v>
      </c>
      <c r="V148" s="85">
        <v>0</v>
      </c>
      <c r="W148" s="105">
        <v>0</v>
      </c>
      <c r="X148" s="102">
        <v>0</v>
      </c>
      <c r="Y148" s="28"/>
      <c r="Z148" s="28">
        <f t="shared" si="44"/>
        <v>0</v>
      </c>
    </row>
    <row r="149" spans="1:26" ht="12.75" hidden="1">
      <c r="A149" s="192" t="s">
        <v>294</v>
      </c>
      <c r="B149" s="193"/>
      <c r="C149" s="193"/>
      <c r="D149" s="193"/>
      <c r="E149" s="193"/>
      <c r="F149" s="38"/>
      <c r="G149" s="216" t="s">
        <v>43</v>
      </c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49">
        <f>S149+T149+U149+V149</f>
        <v>0</v>
      </c>
      <c r="S149" s="85">
        <v>0</v>
      </c>
      <c r="T149" s="86">
        <v>0</v>
      </c>
      <c r="U149" s="86">
        <v>0</v>
      </c>
      <c r="V149" s="85">
        <v>0</v>
      </c>
      <c r="W149" s="105">
        <v>0</v>
      </c>
      <c r="X149" s="102">
        <v>0</v>
      </c>
      <c r="Y149" s="28"/>
      <c r="Z149" s="28">
        <f t="shared" si="44"/>
        <v>0</v>
      </c>
    </row>
    <row r="150" spans="1:26" ht="12.75" hidden="1">
      <c r="A150" s="192" t="s">
        <v>474</v>
      </c>
      <c r="B150" s="193"/>
      <c r="C150" s="193"/>
      <c r="D150" s="193"/>
      <c r="E150" s="194"/>
      <c r="F150" s="216" t="s">
        <v>70</v>
      </c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49">
        <f>S150+T150+U150+V150</f>
        <v>0</v>
      </c>
      <c r="S150" s="85">
        <v>0</v>
      </c>
      <c r="T150" s="86">
        <f>3000-3000</f>
        <v>0</v>
      </c>
      <c r="U150" s="86">
        <v>0</v>
      </c>
      <c r="V150" s="85">
        <v>0</v>
      </c>
      <c r="W150" s="105">
        <v>0</v>
      </c>
      <c r="X150" s="102">
        <v>0</v>
      </c>
      <c r="Y150" s="28"/>
      <c r="Z150" s="28">
        <f t="shared" si="44"/>
        <v>0</v>
      </c>
    </row>
    <row r="151" spans="1:26" s="58" customFormat="1" ht="12.75">
      <c r="A151" s="294" t="s">
        <v>119</v>
      </c>
      <c r="B151" s="295"/>
      <c r="C151" s="295"/>
      <c r="D151" s="295"/>
      <c r="E151" s="295"/>
      <c r="F151" s="296"/>
      <c r="G151" s="292" t="s">
        <v>168</v>
      </c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66">
        <f aca="true" t="shared" si="52" ref="R151:X151">R152</f>
        <v>460692.37</v>
      </c>
      <c r="S151" s="55">
        <f t="shared" si="52"/>
        <v>6005.47</v>
      </c>
      <c r="T151" s="56">
        <f t="shared" si="52"/>
        <v>19366.86</v>
      </c>
      <c r="U151" s="56">
        <f t="shared" si="52"/>
        <v>165081.68</v>
      </c>
      <c r="V151" s="55">
        <f t="shared" si="52"/>
        <v>270238.36</v>
      </c>
      <c r="W151" s="119">
        <f t="shared" si="52"/>
        <v>0</v>
      </c>
      <c r="X151" s="118">
        <f t="shared" si="52"/>
        <v>0</v>
      </c>
      <c r="Y151" s="57">
        <f>SUM(S151:V151)</f>
        <v>460692.37</v>
      </c>
      <c r="Z151" s="28">
        <f t="shared" si="44"/>
        <v>0</v>
      </c>
    </row>
    <row r="152" spans="1:26" s="63" customFormat="1" ht="12.75" hidden="1">
      <c r="A152" s="299" t="s">
        <v>158</v>
      </c>
      <c r="B152" s="300"/>
      <c r="C152" s="300"/>
      <c r="D152" s="300"/>
      <c r="E152" s="300"/>
      <c r="F152" s="59"/>
      <c r="G152" s="297" t="s">
        <v>90</v>
      </c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67">
        <f>R153+R159+R162</f>
        <v>460692.37</v>
      </c>
      <c r="S152" s="60">
        <f aca="true" t="shared" si="53" ref="S152:X152">S153+S159+S162</f>
        <v>6005.47</v>
      </c>
      <c r="T152" s="61">
        <f t="shared" si="53"/>
        <v>19366.86</v>
      </c>
      <c r="U152" s="61">
        <f>U153+U159+U162</f>
        <v>165081.68</v>
      </c>
      <c r="V152" s="60">
        <f>V153+V159+V162</f>
        <v>270238.36</v>
      </c>
      <c r="W152" s="121">
        <f t="shared" si="53"/>
        <v>0</v>
      </c>
      <c r="X152" s="120">
        <f t="shared" si="53"/>
        <v>0</v>
      </c>
      <c r="Y152" s="62"/>
      <c r="Z152" s="28">
        <f t="shared" si="44"/>
        <v>0</v>
      </c>
    </row>
    <row r="153" spans="1:26" s="63" customFormat="1" ht="22.5" customHeight="1" hidden="1">
      <c r="A153" s="299" t="s">
        <v>159</v>
      </c>
      <c r="B153" s="300"/>
      <c r="C153" s="300"/>
      <c r="D153" s="300"/>
      <c r="E153" s="300"/>
      <c r="F153" s="59"/>
      <c r="G153" s="297" t="s">
        <v>91</v>
      </c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67">
        <f aca="true" t="shared" si="54" ref="R153:X154">R154</f>
        <v>0</v>
      </c>
      <c r="S153" s="60">
        <f t="shared" si="54"/>
        <v>0</v>
      </c>
      <c r="T153" s="61">
        <f t="shared" si="54"/>
        <v>0</v>
      </c>
      <c r="U153" s="61">
        <f t="shared" si="54"/>
        <v>0</v>
      </c>
      <c r="V153" s="60">
        <f t="shared" si="54"/>
        <v>0</v>
      </c>
      <c r="W153" s="121">
        <f t="shared" si="54"/>
        <v>0</v>
      </c>
      <c r="X153" s="120">
        <f t="shared" si="54"/>
        <v>0</v>
      </c>
      <c r="Y153" s="62"/>
      <c r="Z153" s="28">
        <f t="shared" si="44"/>
        <v>0</v>
      </c>
    </row>
    <row r="154" spans="1:26" ht="48.75" customHeight="1" hidden="1">
      <c r="A154" s="192" t="s">
        <v>296</v>
      </c>
      <c r="B154" s="193"/>
      <c r="C154" s="193"/>
      <c r="D154" s="193"/>
      <c r="E154" s="193"/>
      <c r="F154" s="194"/>
      <c r="G154" s="216" t="s">
        <v>207</v>
      </c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48">
        <f>R155</f>
        <v>0</v>
      </c>
      <c r="S154" s="54">
        <f t="shared" si="54"/>
        <v>0</v>
      </c>
      <c r="T154" s="31">
        <f t="shared" si="54"/>
        <v>0</v>
      </c>
      <c r="U154" s="31">
        <f t="shared" si="54"/>
        <v>0</v>
      </c>
      <c r="V154" s="54">
        <f t="shared" si="54"/>
        <v>0</v>
      </c>
      <c r="W154" s="113">
        <f t="shared" si="54"/>
        <v>0</v>
      </c>
      <c r="X154" s="112">
        <f t="shared" si="54"/>
        <v>0</v>
      </c>
      <c r="Y154" s="28">
        <f>SUM(S154:V154)</f>
        <v>0</v>
      </c>
      <c r="Z154" s="28">
        <f t="shared" si="44"/>
        <v>0</v>
      </c>
    </row>
    <row r="155" spans="1:26" ht="24" customHeight="1" hidden="1">
      <c r="A155" s="192" t="s">
        <v>297</v>
      </c>
      <c r="B155" s="193"/>
      <c r="C155" s="193"/>
      <c r="D155" s="193"/>
      <c r="E155" s="193"/>
      <c r="F155" s="194"/>
      <c r="G155" s="216" t="s">
        <v>209</v>
      </c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48">
        <f aca="true" t="shared" si="55" ref="R155:X155">R156+R159</f>
        <v>0</v>
      </c>
      <c r="S155" s="54">
        <f t="shared" si="55"/>
        <v>0</v>
      </c>
      <c r="T155" s="31">
        <f t="shared" si="55"/>
        <v>0</v>
      </c>
      <c r="U155" s="31">
        <f t="shared" si="55"/>
        <v>0</v>
      </c>
      <c r="V155" s="54">
        <f t="shared" si="55"/>
        <v>0</v>
      </c>
      <c r="W155" s="113">
        <f t="shared" si="55"/>
        <v>0</v>
      </c>
      <c r="X155" s="112">
        <f t="shared" si="55"/>
        <v>0</v>
      </c>
      <c r="Y155" s="28">
        <f>SUM(S155:V155)</f>
        <v>0</v>
      </c>
      <c r="Z155" s="28">
        <f t="shared" si="44"/>
        <v>0</v>
      </c>
    </row>
    <row r="156" spans="1:26" ht="12.75" hidden="1">
      <c r="A156" s="192" t="s">
        <v>298</v>
      </c>
      <c r="B156" s="193"/>
      <c r="C156" s="193"/>
      <c r="D156" s="193"/>
      <c r="E156" s="193"/>
      <c r="F156" s="194"/>
      <c r="G156" s="216" t="s">
        <v>212</v>
      </c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48">
        <f aca="true" t="shared" si="56" ref="R156:X156">R157+R158</f>
        <v>0</v>
      </c>
      <c r="S156" s="54">
        <f t="shared" si="56"/>
        <v>0</v>
      </c>
      <c r="T156" s="31">
        <f t="shared" si="56"/>
        <v>0</v>
      </c>
      <c r="U156" s="31">
        <f t="shared" si="56"/>
        <v>0</v>
      </c>
      <c r="V156" s="54">
        <f t="shared" si="56"/>
        <v>0</v>
      </c>
      <c r="W156" s="113">
        <f t="shared" si="56"/>
        <v>0</v>
      </c>
      <c r="X156" s="112">
        <f t="shared" si="56"/>
        <v>0</v>
      </c>
      <c r="Y156" s="28">
        <f>SUM(S156:V156)</f>
        <v>0</v>
      </c>
      <c r="Z156" s="28">
        <f t="shared" si="44"/>
        <v>0</v>
      </c>
    </row>
    <row r="157" spans="1:26" ht="12.75" hidden="1">
      <c r="A157" s="301" t="s">
        <v>299</v>
      </c>
      <c r="B157" s="302"/>
      <c r="C157" s="302"/>
      <c r="D157" s="302"/>
      <c r="E157" s="302"/>
      <c r="F157" s="303"/>
      <c r="G157" s="216" t="s">
        <v>33</v>
      </c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49">
        <f>SUM(S157:V157)</f>
        <v>0</v>
      </c>
      <c r="S157" s="85">
        <v>0</v>
      </c>
      <c r="T157" s="86">
        <v>0</v>
      </c>
      <c r="U157" s="86">
        <v>0</v>
      </c>
      <c r="V157" s="85">
        <v>0</v>
      </c>
      <c r="W157" s="105">
        <v>0</v>
      </c>
      <c r="X157" s="102">
        <v>0</v>
      </c>
      <c r="Y157" s="28">
        <f>SUM(S157:X157)</f>
        <v>0</v>
      </c>
      <c r="Z157" s="28">
        <f t="shared" si="44"/>
        <v>0</v>
      </c>
    </row>
    <row r="158" spans="1:26" ht="12.75" hidden="1">
      <c r="A158" s="301" t="s">
        <v>300</v>
      </c>
      <c r="B158" s="302"/>
      <c r="C158" s="302"/>
      <c r="D158" s="302"/>
      <c r="E158" s="302"/>
      <c r="F158" s="303"/>
      <c r="G158" s="216" t="s">
        <v>34</v>
      </c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49">
        <f>SUM(S158:V158)</f>
        <v>0</v>
      </c>
      <c r="S158" s="85">
        <v>0</v>
      </c>
      <c r="T158" s="86">
        <v>0</v>
      </c>
      <c r="U158" s="86">
        <v>0</v>
      </c>
      <c r="V158" s="85">
        <v>0</v>
      </c>
      <c r="W158" s="105">
        <v>0</v>
      </c>
      <c r="X158" s="102">
        <v>0</v>
      </c>
      <c r="Y158" s="28">
        <f>SUM(S158:X158)</f>
        <v>0</v>
      </c>
      <c r="Z158" s="28">
        <f t="shared" si="44"/>
        <v>0</v>
      </c>
    </row>
    <row r="159" spans="1:26" s="63" customFormat="1" ht="23.25" customHeight="1" hidden="1">
      <c r="A159" s="299" t="s">
        <v>160</v>
      </c>
      <c r="B159" s="300"/>
      <c r="C159" s="300"/>
      <c r="D159" s="300"/>
      <c r="E159" s="300"/>
      <c r="F159" s="59"/>
      <c r="G159" s="297" t="s">
        <v>91</v>
      </c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67">
        <f aca="true" t="shared" si="57" ref="R159:X159">R160</f>
        <v>0</v>
      </c>
      <c r="S159" s="89">
        <f t="shared" si="57"/>
        <v>0</v>
      </c>
      <c r="T159" s="90">
        <f t="shared" si="57"/>
        <v>0</v>
      </c>
      <c r="U159" s="90">
        <f t="shared" si="57"/>
        <v>0</v>
      </c>
      <c r="V159" s="89">
        <f t="shared" si="57"/>
        <v>0</v>
      </c>
      <c r="W159" s="121">
        <f t="shared" si="57"/>
        <v>0</v>
      </c>
      <c r="X159" s="120">
        <f t="shared" si="57"/>
        <v>0</v>
      </c>
      <c r="Y159" s="62"/>
      <c r="Z159" s="28">
        <f t="shared" si="44"/>
        <v>0</v>
      </c>
    </row>
    <row r="160" spans="1:26" s="65" customFormat="1" ht="16.5" customHeight="1" hidden="1">
      <c r="A160" s="301" t="s">
        <v>301</v>
      </c>
      <c r="B160" s="302"/>
      <c r="C160" s="302"/>
      <c r="D160" s="302"/>
      <c r="E160" s="302"/>
      <c r="F160" s="303"/>
      <c r="G160" s="304"/>
      <c r="H160" s="305"/>
      <c r="I160" s="305"/>
      <c r="J160" s="305"/>
      <c r="K160" s="305"/>
      <c r="L160" s="305"/>
      <c r="M160" s="305"/>
      <c r="N160" s="305"/>
      <c r="O160" s="305"/>
      <c r="P160" s="305"/>
      <c r="Q160" s="305"/>
      <c r="R160" s="68">
        <f>SUM(S160:V160)</f>
        <v>0</v>
      </c>
      <c r="S160" s="91">
        <v>0</v>
      </c>
      <c r="T160" s="92">
        <v>0</v>
      </c>
      <c r="U160" s="92">
        <v>0</v>
      </c>
      <c r="V160" s="91">
        <v>0</v>
      </c>
      <c r="W160" s="122">
        <v>0</v>
      </c>
      <c r="X160" s="103">
        <v>0</v>
      </c>
      <c r="Y160" s="64">
        <f>SUM(S160:V160)</f>
        <v>0</v>
      </c>
      <c r="Z160" s="28">
        <f t="shared" si="44"/>
        <v>0</v>
      </c>
    </row>
    <row r="161" spans="1:26" s="63" customFormat="1" ht="12.75">
      <c r="A161" s="308" t="s">
        <v>412</v>
      </c>
      <c r="B161" s="309"/>
      <c r="C161" s="309"/>
      <c r="D161" s="309"/>
      <c r="E161" s="309"/>
      <c r="F161" s="137"/>
      <c r="G161" s="306" t="s">
        <v>413</v>
      </c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138">
        <f>R162</f>
        <v>460692.37</v>
      </c>
      <c r="S161" s="144">
        <f aca="true" t="shared" si="58" ref="S161:X161">S162</f>
        <v>6005.47</v>
      </c>
      <c r="T161" s="142">
        <f t="shared" si="58"/>
        <v>19366.86</v>
      </c>
      <c r="U161" s="142">
        <f t="shared" si="58"/>
        <v>165081.68</v>
      </c>
      <c r="V161" s="144">
        <f t="shared" si="58"/>
        <v>270238.36</v>
      </c>
      <c r="W161" s="138">
        <f t="shared" si="58"/>
        <v>0</v>
      </c>
      <c r="X161" s="141">
        <f t="shared" si="58"/>
        <v>0</v>
      </c>
      <c r="Y161" s="62"/>
      <c r="Z161" s="28">
        <f t="shared" si="44"/>
        <v>0</v>
      </c>
    </row>
    <row r="162" spans="1:26" s="63" customFormat="1" ht="23.25" customHeight="1">
      <c r="A162" s="299" t="s">
        <v>120</v>
      </c>
      <c r="B162" s="300"/>
      <c r="C162" s="300"/>
      <c r="D162" s="300"/>
      <c r="E162" s="300"/>
      <c r="F162" s="59"/>
      <c r="G162" s="297" t="s">
        <v>167</v>
      </c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67">
        <f>R168+R173</f>
        <v>460692.37</v>
      </c>
      <c r="S162" s="60">
        <f>S168+S173</f>
        <v>6005.47</v>
      </c>
      <c r="T162" s="61">
        <f>T168+T173</f>
        <v>19366.86</v>
      </c>
      <c r="U162" s="61">
        <f>U168+U173</f>
        <v>165081.68</v>
      </c>
      <c r="V162" s="60">
        <f>V168+V173</f>
        <v>270238.36</v>
      </c>
      <c r="W162" s="121">
        <f>W163+W168</f>
        <v>0</v>
      </c>
      <c r="X162" s="120">
        <f>X163+X168</f>
        <v>0</v>
      </c>
      <c r="Y162" s="62"/>
      <c r="Z162" s="28">
        <f t="shared" si="44"/>
        <v>0</v>
      </c>
    </row>
    <row r="163" spans="1:26" ht="48.75" customHeight="1" hidden="1">
      <c r="A163" s="192" t="s">
        <v>302</v>
      </c>
      <c r="B163" s="193"/>
      <c r="C163" s="193"/>
      <c r="D163" s="193"/>
      <c r="E163" s="193"/>
      <c r="F163" s="194"/>
      <c r="G163" s="216" t="s">
        <v>207</v>
      </c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48">
        <f>R164</f>
        <v>0</v>
      </c>
      <c r="S163" s="54">
        <f aca="true" t="shared" si="59" ref="S163:X164">S164</f>
        <v>0</v>
      </c>
      <c r="T163" s="31">
        <f t="shared" si="59"/>
        <v>0</v>
      </c>
      <c r="U163" s="31">
        <f t="shared" si="59"/>
        <v>0</v>
      </c>
      <c r="V163" s="54">
        <f t="shared" si="59"/>
        <v>0</v>
      </c>
      <c r="W163" s="113">
        <f t="shared" si="59"/>
        <v>0</v>
      </c>
      <c r="X163" s="112">
        <f t="shared" si="59"/>
        <v>0</v>
      </c>
      <c r="Y163" s="28">
        <f>SUM(S163:V163)</f>
        <v>0</v>
      </c>
      <c r="Z163" s="28">
        <f t="shared" si="44"/>
        <v>0</v>
      </c>
    </row>
    <row r="164" spans="1:26" ht="24" customHeight="1" hidden="1">
      <c r="A164" s="192" t="s">
        <v>303</v>
      </c>
      <c r="B164" s="193"/>
      <c r="C164" s="193"/>
      <c r="D164" s="193"/>
      <c r="E164" s="193"/>
      <c r="F164" s="194"/>
      <c r="G164" s="216" t="s">
        <v>209</v>
      </c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48">
        <f>R165</f>
        <v>0</v>
      </c>
      <c r="S164" s="54">
        <f t="shared" si="59"/>
        <v>0</v>
      </c>
      <c r="T164" s="31">
        <f t="shared" si="59"/>
        <v>0</v>
      </c>
      <c r="U164" s="31">
        <f t="shared" si="59"/>
        <v>0</v>
      </c>
      <c r="V164" s="54">
        <f t="shared" si="59"/>
        <v>0</v>
      </c>
      <c r="W164" s="113">
        <f t="shared" si="59"/>
        <v>0</v>
      </c>
      <c r="X164" s="112">
        <f t="shared" si="59"/>
        <v>0</v>
      </c>
      <c r="Y164" s="28">
        <f>SUM(S164:V164)</f>
        <v>0</v>
      </c>
      <c r="Z164" s="28">
        <f t="shared" si="44"/>
        <v>0</v>
      </c>
    </row>
    <row r="165" spans="1:26" ht="12.75" hidden="1">
      <c r="A165" s="192" t="s">
        <v>304</v>
      </c>
      <c r="B165" s="193"/>
      <c r="C165" s="193"/>
      <c r="D165" s="193"/>
      <c r="E165" s="193"/>
      <c r="F165" s="194"/>
      <c r="G165" s="216" t="s">
        <v>212</v>
      </c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48">
        <f>R166+R167</f>
        <v>0</v>
      </c>
      <c r="S165" s="54">
        <f aca="true" t="shared" si="60" ref="S165:X165">S166+S167</f>
        <v>0</v>
      </c>
      <c r="T165" s="31">
        <f t="shared" si="60"/>
        <v>0</v>
      </c>
      <c r="U165" s="31">
        <f t="shared" si="60"/>
        <v>0</v>
      </c>
      <c r="V165" s="54">
        <f t="shared" si="60"/>
        <v>0</v>
      </c>
      <c r="W165" s="113">
        <f t="shared" si="60"/>
        <v>0</v>
      </c>
      <c r="X165" s="112">
        <f t="shared" si="60"/>
        <v>0</v>
      </c>
      <c r="Y165" s="28">
        <f>SUM(S165:V165)</f>
        <v>0</v>
      </c>
      <c r="Z165" s="28">
        <f t="shared" si="44"/>
        <v>0</v>
      </c>
    </row>
    <row r="166" spans="1:26" ht="12.75" hidden="1">
      <c r="A166" s="301" t="s">
        <v>165</v>
      </c>
      <c r="B166" s="302"/>
      <c r="C166" s="302"/>
      <c r="D166" s="302"/>
      <c r="E166" s="302"/>
      <c r="F166" s="303"/>
      <c r="G166" s="216" t="s">
        <v>33</v>
      </c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49">
        <f>SUM(S166:V166)</f>
        <v>0</v>
      </c>
      <c r="S166" s="85">
        <v>0</v>
      </c>
      <c r="T166" s="86">
        <v>0</v>
      </c>
      <c r="U166" s="86">
        <v>0</v>
      </c>
      <c r="V166" s="85">
        <v>0</v>
      </c>
      <c r="W166" s="105">
        <v>0</v>
      </c>
      <c r="X166" s="102">
        <v>0</v>
      </c>
      <c r="Y166" s="28">
        <f>SUM(S166:X166)</f>
        <v>0</v>
      </c>
      <c r="Z166" s="28">
        <f t="shared" si="44"/>
        <v>0</v>
      </c>
    </row>
    <row r="167" spans="1:26" ht="12.75" hidden="1">
      <c r="A167" s="301" t="s">
        <v>166</v>
      </c>
      <c r="B167" s="302"/>
      <c r="C167" s="302"/>
      <c r="D167" s="302"/>
      <c r="E167" s="302"/>
      <c r="F167" s="303"/>
      <c r="G167" s="216" t="s">
        <v>34</v>
      </c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49">
        <f>SUM(S167:V167)</f>
        <v>0</v>
      </c>
      <c r="S167" s="85">
        <v>0</v>
      </c>
      <c r="T167" s="86">
        <v>0</v>
      </c>
      <c r="U167" s="86">
        <v>0</v>
      </c>
      <c r="V167" s="85">
        <v>0</v>
      </c>
      <c r="W167" s="105">
        <v>0</v>
      </c>
      <c r="X167" s="102">
        <v>0</v>
      </c>
      <c r="Y167" s="28">
        <f>SUM(S167:X167)</f>
        <v>0</v>
      </c>
      <c r="Z167" s="28">
        <f t="shared" si="44"/>
        <v>0</v>
      </c>
    </row>
    <row r="168" spans="1:26" ht="36" customHeight="1">
      <c r="A168" s="192" t="s">
        <v>302</v>
      </c>
      <c r="B168" s="193"/>
      <c r="C168" s="193"/>
      <c r="D168" s="193"/>
      <c r="E168" s="193"/>
      <c r="F168" s="194"/>
      <c r="G168" s="216" t="s">
        <v>207</v>
      </c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48">
        <f>R169</f>
        <v>322236.4</v>
      </c>
      <c r="S168" s="54">
        <f aca="true" t="shared" si="61" ref="S168:X169">S169</f>
        <v>6005.47</v>
      </c>
      <c r="T168" s="31">
        <f t="shared" si="61"/>
        <v>19366.86</v>
      </c>
      <c r="U168" s="31">
        <f t="shared" si="61"/>
        <v>141822.38</v>
      </c>
      <c r="V168" s="54">
        <f t="shared" si="61"/>
        <v>155041.69</v>
      </c>
      <c r="W168" s="113">
        <f t="shared" si="61"/>
        <v>0</v>
      </c>
      <c r="X168" s="112">
        <f t="shared" si="61"/>
        <v>0</v>
      </c>
      <c r="Y168" s="28">
        <f>SUM(S168:V168)</f>
        <v>322236.4</v>
      </c>
      <c r="Z168" s="28">
        <f t="shared" si="44"/>
        <v>0</v>
      </c>
    </row>
    <row r="169" spans="1:26" ht="24" customHeight="1">
      <c r="A169" s="192" t="s">
        <v>303</v>
      </c>
      <c r="B169" s="193"/>
      <c r="C169" s="193"/>
      <c r="D169" s="193"/>
      <c r="E169" s="193"/>
      <c r="F169" s="194"/>
      <c r="G169" s="216" t="s">
        <v>209</v>
      </c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48">
        <f>R170</f>
        <v>322236.4</v>
      </c>
      <c r="S169" s="54">
        <f t="shared" si="61"/>
        <v>6005.47</v>
      </c>
      <c r="T169" s="31">
        <f t="shared" si="61"/>
        <v>19366.86</v>
      </c>
      <c r="U169" s="31">
        <f t="shared" si="61"/>
        <v>141822.38</v>
      </c>
      <c r="V169" s="54">
        <f t="shared" si="61"/>
        <v>155041.69</v>
      </c>
      <c r="W169" s="113">
        <f t="shared" si="61"/>
        <v>0</v>
      </c>
      <c r="X169" s="112">
        <f t="shared" si="61"/>
        <v>0</v>
      </c>
      <c r="Y169" s="28">
        <f>SUM(S169:V169)</f>
        <v>322236.4</v>
      </c>
      <c r="Z169" s="28">
        <f t="shared" si="44"/>
        <v>0</v>
      </c>
    </row>
    <row r="170" spans="1:26" ht="24" customHeight="1">
      <c r="A170" s="192" t="s">
        <v>304</v>
      </c>
      <c r="B170" s="193"/>
      <c r="C170" s="193"/>
      <c r="D170" s="193"/>
      <c r="E170" s="193"/>
      <c r="F170" s="194"/>
      <c r="G170" s="216" t="s">
        <v>212</v>
      </c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48">
        <f>R171+R172</f>
        <v>322236.4</v>
      </c>
      <c r="S170" s="54">
        <f>SUM(S171:S172)</f>
        <v>6005.47</v>
      </c>
      <c r="T170" s="31">
        <f>SUM(T171:T172)</f>
        <v>19366.86</v>
      </c>
      <c r="U170" s="31">
        <f>SUM(U171:U172)</f>
        <v>141822.38</v>
      </c>
      <c r="V170" s="54">
        <f>SUM(V171:V172)</f>
        <v>155041.69</v>
      </c>
      <c r="W170" s="113">
        <f>SUM(W172:W173)</f>
        <v>0</v>
      </c>
      <c r="X170" s="112">
        <f>SUM(X172:X173)</f>
        <v>0</v>
      </c>
      <c r="Y170" s="28">
        <f>SUM(S170:V170)</f>
        <v>322236.4</v>
      </c>
      <c r="Z170" s="28">
        <f t="shared" si="44"/>
        <v>0</v>
      </c>
    </row>
    <row r="171" spans="1:26" ht="24" customHeight="1" hidden="1">
      <c r="A171" s="301" t="s">
        <v>483</v>
      </c>
      <c r="B171" s="302"/>
      <c r="C171" s="302"/>
      <c r="D171" s="302"/>
      <c r="E171" s="302"/>
      <c r="F171" s="303"/>
      <c r="G171" s="216" t="s">
        <v>33</v>
      </c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69">
        <f>SUM(S171:V171)</f>
        <v>247880.95</v>
      </c>
      <c r="S171" s="93">
        <v>4880.96</v>
      </c>
      <c r="T171" s="94">
        <v>14874.7</v>
      </c>
      <c r="U171" s="94">
        <f>98676.56+10250-9000</f>
        <v>99926.56</v>
      </c>
      <c r="V171" s="93">
        <f>13027.77+47092.4-10000+377.33+26207.17+51106.51+387.55</f>
        <v>128198.73</v>
      </c>
      <c r="W171" s="105">
        <v>0</v>
      </c>
      <c r="X171" s="102">
        <v>0</v>
      </c>
      <c r="Y171" s="28"/>
      <c r="Z171" s="28"/>
    </row>
    <row r="172" spans="1:26" s="65" customFormat="1" ht="12.75" customHeight="1" hidden="1">
      <c r="A172" s="301" t="s">
        <v>484</v>
      </c>
      <c r="B172" s="302"/>
      <c r="C172" s="302"/>
      <c r="D172" s="302"/>
      <c r="E172" s="302"/>
      <c r="F172" s="303"/>
      <c r="G172" s="216" t="s">
        <v>34</v>
      </c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69">
        <f>SUM(S172:V172)</f>
        <v>74355.45</v>
      </c>
      <c r="S172" s="93">
        <v>1124.51</v>
      </c>
      <c r="T172" s="94">
        <v>4492.16</v>
      </c>
      <c r="U172" s="94">
        <f>29800.32+3095.5+9000</f>
        <v>41895.82</v>
      </c>
      <c r="V172" s="93">
        <f>10000-377.33+6932.7+10675.14-387.55</f>
        <v>26842.96</v>
      </c>
      <c r="W172" s="114">
        <v>0</v>
      </c>
      <c r="X172" s="104">
        <v>0</v>
      </c>
      <c r="Y172" s="64">
        <f>SUM(S172:V172)</f>
        <v>74355.45</v>
      </c>
      <c r="Z172" s="28">
        <f>R172-S172-T172-U172-V172</f>
        <v>0</v>
      </c>
    </row>
    <row r="173" spans="1:26" s="65" customFormat="1" ht="24" customHeight="1">
      <c r="A173" s="301" t="s">
        <v>480</v>
      </c>
      <c r="B173" s="302"/>
      <c r="C173" s="302"/>
      <c r="D173" s="302"/>
      <c r="E173" s="302"/>
      <c r="F173" s="303"/>
      <c r="G173" s="216" t="s">
        <v>362</v>
      </c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68">
        <f>R174</f>
        <v>138455.97</v>
      </c>
      <c r="S173" s="91">
        <v>0</v>
      </c>
      <c r="T173" s="92">
        <v>0</v>
      </c>
      <c r="U173" s="92">
        <f>U174</f>
        <v>23259.3</v>
      </c>
      <c r="V173" s="91">
        <f>V174</f>
        <v>115196.67000000001</v>
      </c>
      <c r="W173" s="122">
        <v>0</v>
      </c>
      <c r="X173" s="103">
        <v>0</v>
      </c>
      <c r="Y173" s="64">
        <f>SUM(S173:V173)</f>
        <v>138455.97</v>
      </c>
      <c r="Z173" s="28">
        <f>R173-S173-T173-U173-V173</f>
        <v>0</v>
      </c>
    </row>
    <row r="174" spans="1:26" s="65" customFormat="1" ht="12.75">
      <c r="A174" s="301" t="s">
        <v>481</v>
      </c>
      <c r="B174" s="302"/>
      <c r="C174" s="302"/>
      <c r="D174" s="302"/>
      <c r="E174" s="302"/>
      <c r="F174" s="303"/>
      <c r="G174" s="216" t="s">
        <v>363</v>
      </c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68">
        <f>R175</f>
        <v>138455.97</v>
      </c>
      <c r="S174" s="91">
        <f>S175</f>
        <v>0</v>
      </c>
      <c r="T174" s="92">
        <f>T175</f>
        <v>0</v>
      </c>
      <c r="U174" s="92">
        <f>U175</f>
        <v>23259.3</v>
      </c>
      <c r="V174" s="91">
        <f>V175</f>
        <v>115196.67000000001</v>
      </c>
      <c r="W174" s="122">
        <v>0</v>
      </c>
      <c r="X174" s="103">
        <v>0</v>
      </c>
      <c r="Y174" s="64"/>
      <c r="Z174" s="28"/>
    </row>
    <row r="175" spans="1:26" s="65" customFormat="1" ht="24" customHeight="1" hidden="1">
      <c r="A175" s="301" t="s">
        <v>482</v>
      </c>
      <c r="B175" s="302"/>
      <c r="C175" s="302"/>
      <c r="D175" s="302"/>
      <c r="E175" s="302"/>
      <c r="F175" s="303"/>
      <c r="G175" s="216" t="s">
        <v>205</v>
      </c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69">
        <f>SUM(S175:V175)</f>
        <v>138455.97</v>
      </c>
      <c r="S175" s="93">
        <v>0</v>
      </c>
      <c r="T175" s="94">
        <v>0</v>
      </c>
      <c r="U175" s="94">
        <v>23259.3</v>
      </c>
      <c r="V175" s="93">
        <f>3431.7+40724.5+60237.12+10803.35</f>
        <v>115196.67000000001</v>
      </c>
      <c r="W175" s="114">
        <v>0</v>
      </c>
      <c r="X175" s="104">
        <v>0</v>
      </c>
      <c r="Y175" s="64"/>
      <c r="Z175" s="28"/>
    </row>
    <row r="176" spans="1:26" ht="12.75">
      <c r="A176" s="201" t="s">
        <v>184</v>
      </c>
      <c r="B176" s="202"/>
      <c r="C176" s="202"/>
      <c r="D176" s="202"/>
      <c r="E176" s="202"/>
      <c r="F176" s="72"/>
      <c r="G176" s="292" t="s">
        <v>186</v>
      </c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34">
        <f>R177+R186+R199</f>
        <v>1303902.76</v>
      </c>
      <c r="S176" s="148">
        <f aca="true" t="shared" si="62" ref="S176:X176">S177+S186+S199</f>
        <v>352040</v>
      </c>
      <c r="T176" s="29">
        <f t="shared" si="62"/>
        <v>608130.46</v>
      </c>
      <c r="U176" s="29">
        <f t="shared" si="62"/>
        <v>72251.64</v>
      </c>
      <c r="V176" s="53">
        <f t="shared" si="62"/>
        <v>271480.66000000003</v>
      </c>
      <c r="W176" s="34">
        <f t="shared" si="62"/>
        <v>749700</v>
      </c>
      <c r="X176" s="96">
        <f t="shared" si="62"/>
        <v>767600</v>
      </c>
      <c r="Y176" s="64">
        <f aca="true" t="shared" si="63" ref="Y176:Y239">SUM(S176:V176)</f>
        <v>1303902.76</v>
      </c>
      <c r="Z176" s="28">
        <f aca="true" t="shared" si="64" ref="Z176:Z215">R176-S176-T176-U176-V176</f>
        <v>0</v>
      </c>
    </row>
    <row r="177" spans="1:26" ht="12.75">
      <c r="A177" s="186" t="s">
        <v>188</v>
      </c>
      <c r="B177" s="181"/>
      <c r="C177" s="181"/>
      <c r="D177" s="181"/>
      <c r="E177" s="181"/>
      <c r="F177" s="211"/>
      <c r="G177" s="222" t="s">
        <v>187</v>
      </c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46">
        <f>R178</f>
        <v>746975.5599999999</v>
      </c>
      <c r="S177" s="75">
        <f aca="true" t="shared" si="65" ref="S177:X180">S178</f>
        <v>352040</v>
      </c>
      <c r="T177" s="44">
        <f t="shared" si="65"/>
        <v>102578.45999999999</v>
      </c>
      <c r="U177" s="44">
        <f t="shared" si="65"/>
        <v>72251.64</v>
      </c>
      <c r="V177" s="75">
        <f t="shared" si="65"/>
        <v>220105.46000000002</v>
      </c>
      <c r="W177" s="124">
        <f t="shared" si="65"/>
        <v>749700</v>
      </c>
      <c r="X177" s="127">
        <f t="shared" si="65"/>
        <v>767600</v>
      </c>
      <c r="Y177" s="64">
        <f t="shared" si="63"/>
        <v>746975.56</v>
      </c>
      <c r="Z177" s="28">
        <f t="shared" si="64"/>
        <v>0</v>
      </c>
    </row>
    <row r="178" spans="1:26" ht="12.75">
      <c r="A178" s="198" t="s">
        <v>404</v>
      </c>
      <c r="B178" s="199"/>
      <c r="C178" s="199"/>
      <c r="D178" s="199"/>
      <c r="E178" s="199"/>
      <c r="F178" s="73"/>
      <c r="G178" s="310" t="s">
        <v>405</v>
      </c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47">
        <f>R179</f>
        <v>746975.5599999999</v>
      </c>
      <c r="S178" s="77">
        <f t="shared" si="65"/>
        <v>352040</v>
      </c>
      <c r="T178" s="30">
        <f t="shared" si="65"/>
        <v>102578.45999999999</v>
      </c>
      <c r="U178" s="30">
        <f t="shared" si="65"/>
        <v>72251.64</v>
      </c>
      <c r="V178" s="77">
        <f t="shared" si="65"/>
        <v>220105.46000000002</v>
      </c>
      <c r="W178" s="125">
        <f t="shared" si="65"/>
        <v>749700</v>
      </c>
      <c r="X178" s="128">
        <f t="shared" si="65"/>
        <v>767600</v>
      </c>
      <c r="Y178" s="64">
        <f t="shared" si="63"/>
        <v>746975.56</v>
      </c>
      <c r="Z178" s="28">
        <f t="shared" si="64"/>
        <v>0</v>
      </c>
    </row>
    <row r="179" spans="1:26" ht="24" customHeight="1">
      <c r="A179" s="192" t="s">
        <v>406</v>
      </c>
      <c r="B179" s="193"/>
      <c r="C179" s="193"/>
      <c r="D179" s="193"/>
      <c r="E179" s="193"/>
      <c r="F179" s="38"/>
      <c r="G179" s="216" t="s">
        <v>189</v>
      </c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48">
        <f>R180</f>
        <v>746975.5599999999</v>
      </c>
      <c r="S179" s="54">
        <f t="shared" si="65"/>
        <v>352040</v>
      </c>
      <c r="T179" s="31">
        <f t="shared" si="65"/>
        <v>102578.45999999999</v>
      </c>
      <c r="U179" s="31">
        <f t="shared" si="65"/>
        <v>72251.64</v>
      </c>
      <c r="V179" s="54">
        <f t="shared" si="65"/>
        <v>220105.46000000002</v>
      </c>
      <c r="W179" s="113">
        <f t="shared" si="65"/>
        <v>749700</v>
      </c>
      <c r="X179" s="112">
        <f t="shared" si="65"/>
        <v>767600</v>
      </c>
      <c r="Y179" s="64">
        <f t="shared" si="63"/>
        <v>746975.56</v>
      </c>
      <c r="Z179" s="28">
        <f t="shared" si="64"/>
        <v>0</v>
      </c>
    </row>
    <row r="180" spans="1:26" s="65" customFormat="1" ht="24" customHeight="1">
      <c r="A180" s="192" t="s">
        <v>407</v>
      </c>
      <c r="B180" s="193"/>
      <c r="C180" s="193"/>
      <c r="D180" s="193"/>
      <c r="E180" s="193"/>
      <c r="F180" s="38"/>
      <c r="G180" s="216" t="s">
        <v>190</v>
      </c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48">
        <f>R181</f>
        <v>746975.5599999999</v>
      </c>
      <c r="S180" s="54">
        <f t="shared" si="65"/>
        <v>352040</v>
      </c>
      <c r="T180" s="31">
        <f t="shared" si="65"/>
        <v>102578.45999999999</v>
      </c>
      <c r="U180" s="31">
        <f t="shared" si="65"/>
        <v>72251.64</v>
      </c>
      <c r="V180" s="54">
        <f t="shared" si="65"/>
        <v>220105.46000000002</v>
      </c>
      <c r="W180" s="113">
        <f t="shared" si="65"/>
        <v>749700</v>
      </c>
      <c r="X180" s="112">
        <f t="shared" si="65"/>
        <v>767600</v>
      </c>
      <c r="Y180" s="64">
        <f t="shared" si="63"/>
        <v>746975.56</v>
      </c>
      <c r="Z180" s="28">
        <f t="shared" si="64"/>
        <v>0</v>
      </c>
    </row>
    <row r="181" spans="1:26" s="65" customFormat="1" ht="24" customHeight="1">
      <c r="A181" s="192" t="s">
        <v>408</v>
      </c>
      <c r="B181" s="193"/>
      <c r="C181" s="193"/>
      <c r="D181" s="193"/>
      <c r="E181" s="193"/>
      <c r="F181" s="38"/>
      <c r="G181" s="216" t="s">
        <v>191</v>
      </c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48">
        <f>SUM(R182:R185)</f>
        <v>746975.5599999999</v>
      </c>
      <c r="S181" s="54">
        <f aca="true" t="shared" si="66" ref="S181:X181">SUM(S182:S184)</f>
        <v>352040</v>
      </c>
      <c r="T181" s="31">
        <f>SUM(T182:T185)</f>
        <v>102578.45999999999</v>
      </c>
      <c r="U181" s="31">
        <f>SUM(U182:U185)</f>
        <v>72251.64</v>
      </c>
      <c r="V181" s="54">
        <f>SUM(V182:V185)</f>
        <v>220105.46000000002</v>
      </c>
      <c r="W181" s="113">
        <f t="shared" si="66"/>
        <v>749700</v>
      </c>
      <c r="X181" s="112">
        <f t="shared" si="66"/>
        <v>767600</v>
      </c>
      <c r="Y181" s="64">
        <f t="shared" si="63"/>
        <v>746975.56</v>
      </c>
      <c r="Z181" s="28">
        <f t="shared" si="64"/>
        <v>0</v>
      </c>
    </row>
    <row r="182" spans="1:26" s="65" customFormat="1" ht="12.75" hidden="1">
      <c r="A182" s="192" t="s">
        <v>409</v>
      </c>
      <c r="B182" s="193"/>
      <c r="C182" s="193"/>
      <c r="D182" s="193"/>
      <c r="E182" s="193"/>
      <c r="F182" s="38"/>
      <c r="G182" s="216" t="s">
        <v>39</v>
      </c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49">
        <f>S182+T182+U182+V182</f>
        <v>63248</v>
      </c>
      <c r="S182" s="85">
        <f>34975+10000</f>
        <v>44975</v>
      </c>
      <c r="T182" s="86">
        <f>34975-16702</f>
        <v>18273</v>
      </c>
      <c r="U182" s="86">
        <f>34975-34975</f>
        <v>0</v>
      </c>
      <c r="V182" s="85">
        <f>34975-34975</f>
        <v>0</v>
      </c>
      <c r="W182" s="105">
        <v>166700</v>
      </c>
      <c r="X182" s="102">
        <v>184600</v>
      </c>
      <c r="Y182" s="64">
        <f t="shared" si="63"/>
        <v>63248</v>
      </c>
      <c r="Z182" s="28">
        <f t="shared" si="64"/>
        <v>0</v>
      </c>
    </row>
    <row r="183" spans="1:26" s="65" customFormat="1" ht="12.75" hidden="1">
      <c r="A183" s="192" t="s">
        <v>410</v>
      </c>
      <c r="B183" s="193"/>
      <c r="C183" s="193"/>
      <c r="D183" s="193"/>
      <c r="E183" s="193"/>
      <c r="F183" s="38"/>
      <c r="G183" s="216" t="s">
        <v>41</v>
      </c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49">
        <f>S183+T183+U183+V183</f>
        <v>645954.46</v>
      </c>
      <c r="S183" s="85">
        <f>200000+112065-10000-5416</f>
        <v>296649</v>
      </c>
      <c r="T183" s="86">
        <f>81500+200000-197194.54</f>
        <v>84305.45999999999</v>
      </c>
      <c r="U183" s="86">
        <f>81500-36605.46</f>
        <v>44894.54</v>
      </c>
      <c r="V183" s="85">
        <f>200000-200000+100000+121105.46-1000</f>
        <v>220105.46000000002</v>
      </c>
      <c r="W183" s="105">
        <v>563000</v>
      </c>
      <c r="X183" s="102">
        <v>563000</v>
      </c>
      <c r="Y183" s="64">
        <f t="shared" si="63"/>
        <v>645954.46</v>
      </c>
      <c r="Z183" s="28">
        <f t="shared" si="64"/>
        <v>0</v>
      </c>
    </row>
    <row r="184" spans="1:26" s="65" customFormat="1" ht="12.75" customHeight="1" hidden="1">
      <c r="A184" s="192" t="s">
        <v>411</v>
      </c>
      <c r="B184" s="193"/>
      <c r="C184" s="193"/>
      <c r="D184" s="193"/>
      <c r="E184" s="193"/>
      <c r="F184" s="38"/>
      <c r="G184" s="216" t="s">
        <v>42</v>
      </c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49">
        <f>S184+T184+U184+V184</f>
        <v>10416</v>
      </c>
      <c r="S184" s="85">
        <f>5000+5416</f>
        <v>10416</v>
      </c>
      <c r="T184" s="86">
        <f>5000-5000</f>
        <v>0</v>
      </c>
      <c r="U184" s="86">
        <f>5000-5000</f>
        <v>0</v>
      </c>
      <c r="V184" s="85">
        <f>5000-5000</f>
        <v>0</v>
      </c>
      <c r="W184" s="105">
        <v>20000</v>
      </c>
      <c r="X184" s="102">
        <v>20000</v>
      </c>
      <c r="Y184" s="64">
        <f t="shared" si="63"/>
        <v>10416</v>
      </c>
      <c r="Z184" s="28">
        <f t="shared" si="64"/>
        <v>0</v>
      </c>
    </row>
    <row r="185" spans="1:26" s="65" customFormat="1" ht="12.75" customHeight="1" hidden="1">
      <c r="A185" s="192" t="s">
        <v>493</v>
      </c>
      <c r="B185" s="193"/>
      <c r="C185" s="193"/>
      <c r="D185" s="193"/>
      <c r="E185" s="193"/>
      <c r="F185" s="38"/>
      <c r="G185" s="216" t="s">
        <v>70</v>
      </c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49">
        <f>S185+T185+U185+V185</f>
        <v>27357.1</v>
      </c>
      <c r="S185" s="85"/>
      <c r="T185" s="86"/>
      <c r="U185" s="86">
        <f>40000-12642.9</f>
        <v>27357.1</v>
      </c>
      <c r="V185" s="85"/>
      <c r="W185" s="105">
        <v>20000</v>
      </c>
      <c r="X185" s="102">
        <v>20000</v>
      </c>
      <c r="Y185" s="64">
        <f>SUM(S185:V185)</f>
        <v>27357.1</v>
      </c>
      <c r="Z185" s="28">
        <f t="shared" si="64"/>
        <v>0</v>
      </c>
    </row>
    <row r="186" spans="1:26" s="65" customFormat="1" ht="16.5" customHeight="1">
      <c r="A186" s="186" t="s">
        <v>192</v>
      </c>
      <c r="B186" s="181"/>
      <c r="C186" s="181"/>
      <c r="D186" s="181"/>
      <c r="E186" s="181"/>
      <c r="F186" s="41"/>
      <c r="G186" s="184" t="s">
        <v>179</v>
      </c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46">
        <f>R187+R193</f>
        <v>505552</v>
      </c>
      <c r="S186" s="149">
        <f aca="true" t="shared" si="67" ref="S186:X186">S187+S193</f>
        <v>0</v>
      </c>
      <c r="T186" s="44">
        <f t="shared" si="67"/>
        <v>505552</v>
      </c>
      <c r="U186" s="44">
        <f t="shared" si="67"/>
        <v>0</v>
      </c>
      <c r="V186" s="75">
        <f t="shared" si="67"/>
        <v>0</v>
      </c>
      <c r="W186" s="46">
        <f t="shared" si="67"/>
        <v>0</v>
      </c>
      <c r="X186" s="97">
        <f t="shared" si="67"/>
        <v>0</v>
      </c>
      <c r="Y186" s="64">
        <f t="shared" si="63"/>
        <v>505552</v>
      </c>
      <c r="Z186" s="28">
        <f t="shared" si="64"/>
        <v>0</v>
      </c>
    </row>
    <row r="187" spans="1:26" s="65" customFormat="1" ht="24" customHeight="1" hidden="1">
      <c r="A187" s="198" t="s">
        <v>193</v>
      </c>
      <c r="B187" s="199"/>
      <c r="C187" s="199"/>
      <c r="D187" s="199"/>
      <c r="E187" s="199"/>
      <c r="F187" s="73"/>
      <c r="G187" s="220" t="s">
        <v>194</v>
      </c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47">
        <f aca="true" t="shared" si="68" ref="R187:X195">R188</f>
        <v>0</v>
      </c>
      <c r="S187" s="77">
        <f t="shared" si="68"/>
        <v>0</v>
      </c>
      <c r="T187" s="30">
        <f t="shared" si="68"/>
        <v>0</v>
      </c>
      <c r="U187" s="30">
        <f t="shared" si="68"/>
        <v>0</v>
      </c>
      <c r="V187" s="77">
        <f t="shared" si="68"/>
        <v>0</v>
      </c>
      <c r="W187" s="47">
        <f t="shared" si="68"/>
        <v>0</v>
      </c>
      <c r="X187" s="98">
        <f t="shared" si="68"/>
        <v>0</v>
      </c>
      <c r="Y187" s="64">
        <f t="shared" si="63"/>
        <v>0</v>
      </c>
      <c r="Z187" s="28">
        <f t="shared" si="64"/>
        <v>0</v>
      </c>
    </row>
    <row r="188" spans="1:26" s="65" customFormat="1" ht="12.75" hidden="1">
      <c r="A188" s="192" t="s">
        <v>195</v>
      </c>
      <c r="B188" s="193"/>
      <c r="C188" s="193"/>
      <c r="D188" s="193"/>
      <c r="E188" s="193"/>
      <c r="F188" s="38"/>
      <c r="G188" s="216" t="s">
        <v>196</v>
      </c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48">
        <f t="shared" si="68"/>
        <v>0</v>
      </c>
      <c r="S188" s="54">
        <f t="shared" si="68"/>
        <v>0</v>
      </c>
      <c r="T188" s="31">
        <f t="shared" si="68"/>
        <v>0</v>
      </c>
      <c r="U188" s="31">
        <f t="shared" si="68"/>
        <v>0</v>
      </c>
      <c r="V188" s="54">
        <f t="shared" si="68"/>
        <v>0</v>
      </c>
      <c r="W188" s="48">
        <f t="shared" si="68"/>
        <v>0</v>
      </c>
      <c r="X188" s="99">
        <f t="shared" si="68"/>
        <v>0</v>
      </c>
      <c r="Y188" s="64">
        <f t="shared" si="63"/>
        <v>0</v>
      </c>
      <c r="Z188" s="28">
        <f t="shared" si="64"/>
        <v>0</v>
      </c>
    </row>
    <row r="189" spans="1:26" s="65" customFormat="1" ht="12.75" hidden="1">
      <c r="A189" s="192" t="s">
        <v>198</v>
      </c>
      <c r="B189" s="193"/>
      <c r="C189" s="193"/>
      <c r="D189" s="193"/>
      <c r="E189" s="193"/>
      <c r="F189" s="38"/>
      <c r="G189" s="216" t="s">
        <v>197</v>
      </c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48">
        <f t="shared" si="68"/>
        <v>0</v>
      </c>
      <c r="S189" s="54">
        <f t="shared" si="68"/>
        <v>0</v>
      </c>
      <c r="T189" s="31">
        <f t="shared" si="68"/>
        <v>0</v>
      </c>
      <c r="U189" s="31">
        <f t="shared" si="68"/>
        <v>0</v>
      </c>
      <c r="V189" s="54">
        <f t="shared" si="68"/>
        <v>0</v>
      </c>
      <c r="W189" s="48">
        <f t="shared" si="68"/>
        <v>0</v>
      </c>
      <c r="X189" s="99">
        <f t="shared" si="68"/>
        <v>0</v>
      </c>
      <c r="Y189" s="64">
        <f t="shared" si="63"/>
        <v>0</v>
      </c>
      <c r="Z189" s="28">
        <f t="shared" si="64"/>
        <v>0</v>
      </c>
    </row>
    <row r="190" spans="1:26" s="65" customFormat="1" ht="12.75" hidden="1">
      <c r="A190" s="192" t="s">
        <v>199</v>
      </c>
      <c r="B190" s="193"/>
      <c r="C190" s="193"/>
      <c r="D190" s="193"/>
      <c r="E190" s="193"/>
      <c r="F190" s="38"/>
      <c r="G190" s="216" t="s">
        <v>200</v>
      </c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48">
        <f t="shared" si="68"/>
        <v>0</v>
      </c>
      <c r="S190" s="54">
        <f t="shared" si="68"/>
        <v>0</v>
      </c>
      <c r="T190" s="31">
        <f t="shared" si="68"/>
        <v>0</v>
      </c>
      <c r="U190" s="31">
        <f t="shared" si="68"/>
        <v>0</v>
      </c>
      <c r="V190" s="54">
        <f t="shared" si="68"/>
        <v>0</v>
      </c>
      <c r="W190" s="48">
        <f t="shared" si="68"/>
        <v>0</v>
      </c>
      <c r="X190" s="99">
        <f t="shared" si="68"/>
        <v>0</v>
      </c>
      <c r="Y190" s="64">
        <f t="shared" si="63"/>
        <v>0</v>
      </c>
      <c r="Z190" s="28">
        <f t="shared" si="64"/>
        <v>0</v>
      </c>
    </row>
    <row r="191" spans="1:26" s="65" customFormat="1" ht="35.25" customHeight="1" hidden="1">
      <c r="A191" s="192" t="s">
        <v>201</v>
      </c>
      <c r="B191" s="193"/>
      <c r="C191" s="193"/>
      <c r="D191" s="193"/>
      <c r="E191" s="193"/>
      <c r="F191" s="38"/>
      <c r="G191" s="216" t="s">
        <v>202</v>
      </c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48">
        <f t="shared" si="68"/>
        <v>0</v>
      </c>
      <c r="S191" s="54">
        <f t="shared" si="68"/>
        <v>0</v>
      </c>
      <c r="T191" s="31">
        <f t="shared" si="68"/>
        <v>0</v>
      </c>
      <c r="U191" s="31">
        <f t="shared" si="68"/>
        <v>0</v>
      </c>
      <c r="V191" s="54">
        <f t="shared" si="68"/>
        <v>0</v>
      </c>
      <c r="W191" s="113">
        <f t="shared" si="68"/>
        <v>0</v>
      </c>
      <c r="X191" s="112">
        <f t="shared" si="68"/>
        <v>0</v>
      </c>
      <c r="Y191" s="64">
        <f t="shared" si="63"/>
        <v>0</v>
      </c>
      <c r="Z191" s="28">
        <f t="shared" si="64"/>
        <v>0</v>
      </c>
    </row>
    <row r="192" spans="1:26" s="65" customFormat="1" ht="12.75" hidden="1">
      <c r="A192" s="192" t="s">
        <v>203</v>
      </c>
      <c r="B192" s="193"/>
      <c r="C192" s="193"/>
      <c r="D192" s="193"/>
      <c r="E192" s="193"/>
      <c r="F192" s="38"/>
      <c r="G192" s="216" t="s">
        <v>41</v>
      </c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49">
        <f>S192+T192+U192+V192</f>
        <v>0</v>
      </c>
      <c r="S192" s="85">
        <v>0</v>
      </c>
      <c r="T192" s="86">
        <f>4121250-4121250</f>
        <v>0</v>
      </c>
      <c r="U192" s="86">
        <f>4121250-4121250</f>
        <v>0</v>
      </c>
      <c r="V192" s="85">
        <v>0</v>
      </c>
      <c r="W192" s="105">
        <v>0</v>
      </c>
      <c r="X192" s="102">
        <v>0</v>
      </c>
      <c r="Y192" s="64">
        <f t="shared" si="63"/>
        <v>0</v>
      </c>
      <c r="Z192" s="28">
        <f t="shared" si="64"/>
        <v>0</v>
      </c>
    </row>
    <row r="193" spans="1:26" s="65" customFormat="1" ht="12.75">
      <c r="A193" s="198" t="s">
        <v>515</v>
      </c>
      <c r="B193" s="199"/>
      <c r="C193" s="199"/>
      <c r="D193" s="199"/>
      <c r="E193" s="199"/>
      <c r="F193" s="73"/>
      <c r="G193" s="220" t="s">
        <v>386</v>
      </c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47">
        <f>R194</f>
        <v>505552</v>
      </c>
      <c r="S193" s="158">
        <f aca="true" t="shared" si="69" ref="S193:X193">S194</f>
        <v>0</v>
      </c>
      <c r="T193" s="30">
        <f>T194</f>
        <v>505552</v>
      </c>
      <c r="U193" s="30">
        <f t="shared" si="69"/>
        <v>0</v>
      </c>
      <c r="V193" s="77">
        <f t="shared" si="69"/>
        <v>0</v>
      </c>
      <c r="W193" s="47">
        <f t="shared" si="69"/>
        <v>0</v>
      </c>
      <c r="X193" s="98">
        <f t="shared" si="69"/>
        <v>0</v>
      </c>
      <c r="Y193" s="64">
        <f t="shared" si="63"/>
        <v>505552</v>
      </c>
      <c r="Z193" s="28">
        <f t="shared" si="64"/>
        <v>0</v>
      </c>
    </row>
    <row r="194" spans="1:26" s="65" customFormat="1" ht="26.25" customHeight="1">
      <c r="A194" s="192" t="s">
        <v>521</v>
      </c>
      <c r="B194" s="193"/>
      <c r="C194" s="193"/>
      <c r="D194" s="193"/>
      <c r="E194" s="193"/>
      <c r="F194" s="38"/>
      <c r="G194" s="216" t="s">
        <v>189</v>
      </c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48">
        <f>R195</f>
        <v>505552</v>
      </c>
      <c r="S194" s="54">
        <f t="shared" si="68"/>
        <v>0</v>
      </c>
      <c r="T194" s="31">
        <f t="shared" si="68"/>
        <v>505552</v>
      </c>
      <c r="U194" s="31">
        <f t="shared" si="68"/>
        <v>0</v>
      </c>
      <c r="V194" s="54">
        <f t="shared" si="68"/>
        <v>0</v>
      </c>
      <c r="W194" s="48">
        <f t="shared" si="68"/>
        <v>0</v>
      </c>
      <c r="X194" s="99">
        <f t="shared" si="68"/>
        <v>0</v>
      </c>
      <c r="Y194" s="64">
        <f t="shared" si="63"/>
        <v>505552</v>
      </c>
      <c r="Z194" s="28">
        <f t="shared" si="64"/>
        <v>0</v>
      </c>
    </row>
    <row r="195" spans="1:26" s="65" customFormat="1" ht="26.25" customHeight="1">
      <c r="A195" s="192" t="s">
        <v>518</v>
      </c>
      <c r="B195" s="193"/>
      <c r="C195" s="193"/>
      <c r="D195" s="193"/>
      <c r="E195" s="193"/>
      <c r="F195" s="38"/>
      <c r="G195" s="216" t="s">
        <v>190</v>
      </c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48">
        <f t="shared" si="68"/>
        <v>505552</v>
      </c>
      <c r="S195" s="54">
        <f t="shared" si="68"/>
        <v>0</v>
      </c>
      <c r="T195" s="31">
        <f t="shared" si="68"/>
        <v>505552</v>
      </c>
      <c r="U195" s="31">
        <f t="shared" si="68"/>
        <v>0</v>
      </c>
      <c r="V195" s="54">
        <f t="shared" si="68"/>
        <v>0</v>
      </c>
      <c r="W195" s="48">
        <f t="shared" si="68"/>
        <v>0</v>
      </c>
      <c r="X195" s="99">
        <f t="shared" si="68"/>
        <v>0</v>
      </c>
      <c r="Y195" s="64">
        <f t="shared" si="63"/>
        <v>505552</v>
      </c>
      <c r="Z195" s="28">
        <f t="shared" si="64"/>
        <v>0</v>
      </c>
    </row>
    <row r="196" spans="1:26" s="65" customFormat="1" ht="25.5" customHeight="1">
      <c r="A196" s="192" t="s">
        <v>517</v>
      </c>
      <c r="B196" s="193"/>
      <c r="C196" s="193"/>
      <c r="D196" s="193"/>
      <c r="E196" s="193"/>
      <c r="F196" s="38"/>
      <c r="G196" s="216" t="s">
        <v>191</v>
      </c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48">
        <f>R198+R197</f>
        <v>505552</v>
      </c>
      <c r="S196" s="151">
        <f aca="true" t="shared" si="70" ref="S196:X196">S198+S197</f>
        <v>0</v>
      </c>
      <c r="T196" s="31">
        <f t="shared" si="70"/>
        <v>505552</v>
      </c>
      <c r="U196" s="31">
        <f t="shared" si="70"/>
        <v>0</v>
      </c>
      <c r="V196" s="99">
        <f t="shared" si="70"/>
        <v>0</v>
      </c>
      <c r="W196" s="48">
        <f t="shared" si="70"/>
        <v>0</v>
      </c>
      <c r="X196" s="48">
        <f t="shared" si="70"/>
        <v>0</v>
      </c>
      <c r="Y196" s="64">
        <f t="shared" si="63"/>
        <v>505552</v>
      </c>
      <c r="Z196" s="28">
        <f t="shared" si="64"/>
        <v>0</v>
      </c>
    </row>
    <row r="197" spans="1:26" s="65" customFormat="1" ht="12.75" customHeight="1" hidden="1">
      <c r="A197" s="192" t="s">
        <v>533</v>
      </c>
      <c r="B197" s="193"/>
      <c r="C197" s="193"/>
      <c r="D197" s="193"/>
      <c r="E197" s="193"/>
      <c r="F197" s="38"/>
      <c r="G197" s="216" t="s">
        <v>41</v>
      </c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49">
        <f>S197+T197+U197+V197</f>
        <v>53255.7</v>
      </c>
      <c r="S197" s="85">
        <v>0</v>
      </c>
      <c r="T197" s="86">
        <v>53255.7</v>
      </c>
      <c r="U197" s="86">
        <v>0</v>
      </c>
      <c r="V197" s="85">
        <v>0</v>
      </c>
      <c r="W197" s="105">
        <v>0</v>
      </c>
      <c r="X197" s="102">
        <v>0</v>
      </c>
      <c r="Y197" s="64">
        <f t="shared" si="63"/>
        <v>53255.7</v>
      </c>
      <c r="Z197" s="28">
        <f t="shared" si="64"/>
        <v>0</v>
      </c>
    </row>
    <row r="198" spans="1:26" s="65" customFormat="1" ht="12.75" customHeight="1" hidden="1">
      <c r="A198" s="192" t="s">
        <v>516</v>
      </c>
      <c r="B198" s="193"/>
      <c r="C198" s="193"/>
      <c r="D198" s="193"/>
      <c r="E198" s="193"/>
      <c r="F198" s="38"/>
      <c r="G198" s="216" t="s">
        <v>42</v>
      </c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49">
        <f>S198+T198+U198+V198</f>
        <v>452296.3</v>
      </c>
      <c r="S198" s="85">
        <v>0</v>
      </c>
      <c r="T198" s="86">
        <f>505552-53255.7</f>
        <v>452296.3</v>
      </c>
      <c r="U198" s="86">
        <v>0</v>
      </c>
      <c r="V198" s="85">
        <v>0</v>
      </c>
      <c r="W198" s="105">
        <v>0</v>
      </c>
      <c r="X198" s="102">
        <v>0</v>
      </c>
      <c r="Y198" s="64">
        <f t="shared" si="63"/>
        <v>452296.3</v>
      </c>
      <c r="Z198" s="28">
        <f t="shared" si="64"/>
        <v>0</v>
      </c>
    </row>
    <row r="199" spans="1:26" ht="14.25" customHeight="1">
      <c r="A199" s="186" t="s">
        <v>519</v>
      </c>
      <c r="B199" s="181"/>
      <c r="C199" s="181"/>
      <c r="D199" s="181"/>
      <c r="E199" s="181"/>
      <c r="F199" s="211"/>
      <c r="G199" s="281" t="s">
        <v>509</v>
      </c>
      <c r="H199" s="282"/>
      <c r="I199" s="282"/>
      <c r="J199" s="282"/>
      <c r="K199" s="282"/>
      <c r="L199" s="282"/>
      <c r="M199" s="282"/>
      <c r="N199" s="282"/>
      <c r="O199" s="282"/>
      <c r="P199" s="155"/>
      <c r="Q199" s="155"/>
      <c r="R199" s="46">
        <f aca="true" t="shared" si="71" ref="R199:X202">R200</f>
        <v>51375.2</v>
      </c>
      <c r="S199" s="149">
        <f t="shared" si="71"/>
        <v>0</v>
      </c>
      <c r="T199" s="44">
        <f t="shared" si="71"/>
        <v>0</v>
      </c>
      <c r="U199" s="44">
        <f t="shared" si="71"/>
        <v>0</v>
      </c>
      <c r="V199" s="75">
        <f t="shared" si="71"/>
        <v>51375.2</v>
      </c>
      <c r="W199" s="46">
        <f t="shared" si="71"/>
        <v>0</v>
      </c>
      <c r="X199" s="97">
        <f t="shared" si="71"/>
        <v>0</v>
      </c>
      <c r="Y199" s="28"/>
      <c r="Z199" s="28"/>
    </row>
    <row r="200" spans="1:26" ht="12.75">
      <c r="A200" s="198" t="s">
        <v>520</v>
      </c>
      <c r="B200" s="199"/>
      <c r="C200" s="199"/>
      <c r="D200" s="199"/>
      <c r="E200" s="199"/>
      <c r="F200" s="200"/>
      <c r="G200" s="226" t="s">
        <v>510</v>
      </c>
      <c r="H200" s="227"/>
      <c r="I200" s="227"/>
      <c r="J200" s="227"/>
      <c r="K200" s="227"/>
      <c r="L200" s="227"/>
      <c r="M200" s="227"/>
      <c r="N200" s="227"/>
      <c r="O200" s="227"/>
      <c r="P200" s="154"/>
      <c r="Q200" s="154"/>
      <c r="R200" s="47">
        <f t="shared" si="71"/>
        <v>51375.2</v>
      </c>
      <c r="S200" s="158">
        <f t="shared" si="71"/>
        <v>0</v>
      </c>
      <c r="T200" s="30">
        <f t="shared" si="71"/>
        <v>0</v>
      </c>
      <c r="U200" s="30">
        <f t="shared" si="71"/>
        <v>0</v>
      </c>
      <c r="V200" s="77">
        <f t="shared" si="71"/>
        <v>51375.2</v>
      </c>
      <c r="W200" s="47">
        <f t="shared" si="71"/>
        <v>0</v>
      </c>
      <c r="X200" s="98">
        <f t="shared" si="71"/>
        <v>0</v>
      </c>
      <c r="Y200" s="28"/>
      <c r="Z200" s="28"/>
    </row>
    <row r="201" spans="1:26" ht="20.25" customHeight="1">
      <c r="A201" s="192" t="s">
        <v>522</v>
      </c>
      <c r="B201" s="193"/>
      <c r="C201" s="193"/>
      <c r="D201" s="193"/>
      <c r="E201" s="193"/>
      <c r="F201" s="194"/>
      <c r="G201" s="216" t="s">
        <v>189</v>
      </c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48">
        <f t="shared" si="71"/>
        <v>51375.2</v>
      </c>
      <c r="S201" s="151">
        <f t="shared" si="71"/>
        <v>0</v>
      </c>
      <c r="T201" s="31">
        <f t="shared" si="71"/>
        <v>0</v>
      </c>
      <c r="U201" s="31">
        <f t="shared" si="71"/>
        <v>0</v>
      </c>
      <c r="V201" s="54">
        <f t="shared" si="71"/>
        <v>51375.2</v>
      </c>
      <c r="W201" s="48">
        <f t="shared" si="71"/>
        <v>0</v>
      </c>
      <c r="X201" s="99">
        <f t="shared" si="71"/>
        <v>0</v>
      </c>
      <c r="Y201" s="28"/>
      <c r="Z201" s="28"/>
    </row>
    <row r="202" spans="1:26" ht="24.75" customHeight="1">
      <c r="A202" s="192" t="s">
        <v>523</v>
      </c>
      <c r="B202" s="193"/>
      <c r="C202" s="193"/>
      <c r="D202" s="193"/>
      <c r="E202" s="193"/>
      <c r="F202" s="194"/>
      <c r="G202" s="216" t="s">
        <v>190</v>
      </c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48">
        <f t="shared" si="71"/>
        <v>51375.2</v>
      </c>
      <c r="S202" s="151">
        <f t="shared" si="71"/>
        <v>0</v>
      </c>
      <c r="T202" s="31">
        <f t="shared" si="71"/>
        <v>0</v>
      </c>
      <c r="U202" s="31">
        <f t="shared" si="71"/>
        <v>0</v>
      </c>
      <c r="V202" s="54">
        <f t="shared" si="71"/>
        <v>51375.2</v>
      </c>
      <c r="W202" s="48">
        <f t="shared" si="71"/>
        <v>0</v>
      </c>
      <c r="X202" s="99">
        <f t="shared" si="71"/>
        <v>0</v>
      </c>
      <c r="Y202" s="28"/>
      <c r="Z202" s="28"/>
    </row>
    <row r="203" spans="1:26" ht="24" customHeight="1">
      <c r="A203" s="192" t="s">
        <v>523</v>
      </c>
      <c r="B203" s="193"/>
      <c r="C203" s="193"/>
      <c r="D203" s="193"/>
      <c r="E203" s="193"/>
      <c r="F203" s="194"/>
      <c r="G203" s="216" t="s">
        <v>191</v>
      </c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48">
        <f>R205+R204</f>
        <v>51375.2</v>
      </c>
      <c r="S203" s="151">
        <f aca="true" t="shared" si="72" ref="S203:X203">S204+S205</f>
        <v>0</v>
      </c>
      <c r="T203" s="31">
        <f t="shared" si="72"/>
        <v>0</v>
      </c>
      <c r="U203" s="31">
        <f t="shared" si="72"/>
        <v>0</v>
      </c>
      <c r="V203" s="54">
        <f t="shared" si="72"/>
        <v>51375.2</v>
      </c>
      <c r="W203" s="48">
        <f t="shared" si="72"/>
        <v>0</v>
      </c>
      <c r="X203" s="99">
        <f t="shared" si="72"/>
        <v>0</v>
      </c>
      <c r="Y203" s="28"/>
      <c r="Z203" s="28"/>
    </row>
    <row r="204" spans="1:26" s="65" customFormat="1" ht="12.75" customHeight="1" hidden="1">
      <c r="A204" s="192" t="s">
        <v>528</v>
      </c>
      <c r="B204" s="193"/>
      <c r="C204" s="193"/>
      <c r="D204" s="193"/>
      <c r="E204" s="193"/>
      <c r="F204" s="194"/>
      <c r="G204" s="216" t="s">
        <v>41</v>
      </c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49">
        <f>S204+T204+U204+V204</f>
        <v>1775.1999999999998</v>
      </c>
      <c r="S204" s="86">
        <v>0</v>
      </c>
      <c r="T204" s="86">
        <v>0</v>
      </c>
      <c r="U204" s="86">
        <v>0</v>
      </c>
      <c r="V204" s="166">
        <f>6572-4796.8</f>
        <v>1775.1999999999998</v>
      </c>
      <c r="W204" s="105">
        <v>0</v>
      </c>
      <c r="X204" s="102">
        <v>0</v>
      </c>
      <c r="Y204" s="64"/>
      <c r="Z204" s="28"/>
    </row>
    <row r="205" spans="1:26" s="65" customFormat="1" ht="12.75" customHeight="1" hidden="1">
      <c r="A205" s="192" t="s">
        <v>524</v>
      </c>
      <c r="B205" s="193"/>
      <c r="C205" s="193"/>
      <c r="D205" s="193"/>
      <c r="E205" s="193"/>
      <c r="F205" s="194"/>
      <c r="G205" s="216" t="s">
        <v>42</v>
      </c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49">
        <f>S205+T205+U205+V205</f>
        <v>49600</v>
      </c>
      <c r="S205" s="86">
        <v>0</v>
      </c>
      <c r="T205" s="86">
        <v>0</v>
      </c>
      <c r="U205" s="86">
        <v>0</v>
      </c>
      <c r="V205" s="166">
        <v>49600</v>
      </c>
      <c r="W205" s="105">
        <v>0</v>
      </c>
      <c r="X205" s="102">
        <v>0</v>
      </c>
      <c r="Y205" s="64"/>
      <c r="Z205" s="28"/>
    </row>
    <row r="206" spans="1:26" ht="12.75">
      <c r="A206" s="201" t="s">
        <v>143</v>
      </c>
      <c r="B206" s="202"/>
      <c r="C206" s="202"/>
      <c r="D206" s="202"/>
      <c r="E206" s="202"/>
      <c r="F206" s="72"/>
      <c r="G206" s="288" t="s">
        <v>185</v>
      </c>
      <c r="H206" s="289"/>
      <c r="I206" s="289"/>
      <c r="J206" s="289"/>
      <c r="K206" s="289"/>
      <c r="L206" s="289"/>
      <c r="M206" s="289"/>
      <c r="N206" s="289"/>
      <c r="O206" s="289"/>
      <c r="P206" s="289"/>
      <c r="Q206" s="289"/>
      <c r="R206" s="34">
        <f>R207</f>
        <v>329843.80000000005</v>
      </c>
      <c r="S206" s="53">
        <f aca="true" t="shared" si="73" ref="S206:X209">S207</f>
        <v>65012.66</v>
      </c>
      <c r="T206" s="29">
        <f t="shared" si="73"/>
        <v>80367.32</v>
      </c>
      <c r="U206" s="29">
        <f t="shared" si="73"/>
        <v>115775</v>
      </c>
      <c r="V206" s="53">
        <f t="shared" si="73"/>
        <v>68688.81999999999</v>
      </c>
      <c r="W206" s="34">
        <f t="shared" si="73"/>
        <v>238800</v>
      </c>
      <c r="X206" s="96">
        <f t="shared" si="73"/>
        <v>244500</v>
      </c>
      <c r="Y206" s="64">
        <f t="shared" si="63"/>
        <v>329843.8</v>
      </c>
      <c r="Z206" s="28">
        <f t="shared" si="64"/>
        <v>0</v>
      </c>
    </row>
    <row r="207" spans="1:26" ht="12.75">
      <c r="A207" s="186" t="s">
        <v>144</v>
      </c>
      <c r="B207" s="181"/>
      <c r="C207" s="181"/>
      <c r="D207" s="181"/>
      <c r="E207" s="181"/>
      <c r="F207" s="211"/>
      <c r="G207" s="222" t="s">
        <v>147</v>
      </c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46">
        <f>R208</f>
        <v>329843.80000000005</v>
      </c>
      <c r="S207" s="75">
        <f t="shared" si="73"/>
        <v>65012.66</v>
      </c>
      <c r="T207" s="44">
        <f t="shared" si="73"/>
        <v>80367.32</v>
      </c>
      <c r="U207" s="44">
        <f t="shared" si="73"/>
        <v>115775</v>
      </c>
      <c r="V207" s="75">
        <f t="shared" si="73"/>
        <v>68688.81999999999</v>
      </c>
      <c r="W207" s="46">
        <f t="shared" si="73"/>
        <v>238800</v>
      </c>
      <c r="X207" s="97">
        <f t="shared" si="73"/>
        <v>244500</v>
      </c>
      <c r="Y207" s="64">
        <f t="shared" si="63"/>
        <v>329843.8</v>
      </c>
      <c r="Z207" s="28">
        <f t="shared" si="64"/>
        <v>0</v>
      </c>
    </row>
    <row r="208" spans="1:26" ht="24" customHeight="1">
      <c r="A208" s="198" t="s">
        <v>145</v>
      </c>
      <c r="B208" s="199"/>
      <c r="C208" s="199"/>
      <c r="D208" s="199"/>
      <c r="E208" s="199"/>
      <c r="F208" s="73"/>
      <c r="G208" s="290" t="s">
        <v>146</v>
      </c>
      <c r="H208" s="291"/>
      <c r="I208" s="291"/>
      <c r="J208" s="291"/>
      <c r="K208" s="291"/>
      <c r="L208" s="291"/>
      <c r="M208" s="291"/>
      <c r="N208" s="291"/>
      <c r="O208" s="291"/>
      <c r="P208" s="291"/>
      <c r="Q208" s="291"/>
      <c r="R208" s="47">
        <f>R209</f>
        <v>329843.80000000005</v>
      </c>
      <c r="S208" s="77">
        <f t="shared" si="73"/>
        <v>65012.66</v>
      </c>
      <c r="T208" s="30">
        <f t="shared" si="73"/>
        <v>80367.32</v>
      </c>
      <c r="U208" s="30">
        <f t="shared" si="73"/>
        <v>115775</v>
      </c>
      <c r="V208" s="77">
        <f t="shared" si="73"/>
        <v>68688.81999999999</v>
      </c>
      <c r="W208" s="47">
        <f t="shared" si="73"/>
        <v>238800</v>
      </c>
      <c r="X208" s="98">
        <f t="shared" si="73"/>
        <v>244500</v>
      </c>
      <c r="Y208" s="64">
        <f t="shared" si="63"/>
        <v>329843.8</v>
      </c>
      <c r="Z208" s="28">
        <f t="shared" si="64"/>
        <v>0</v>
      </c>
    </row>
    <row r="209" spans="1:26" ht="24" customHeight="1">
      <c r="A209" s="192" t="s">
        <v>305</v>
      </c>
      <c r="B209" s="193"/>
      <c r="C209" s="193"/>
      <c r="D209" s="193"/>
      <c r="E209" s="193"/>
      <c r="F209" s="38"/>
      <c r="G209" s="216" t="s">
        <v>189</v>
      </c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48">
        <f>R210</f>
        <v>329843.80000000005</v>
      </c>
      <c r="S209" s="54">
        <f t="shared" si="73"/>
        <v>65012.66</v>
      </c>
      <c r="T209" s="31">
        <f t="shared" si="73"/>
        <v>80367.32</v>
      </c>
      <c r="U209" s="31">
        <f t="shared" si="73"/>
        <v>115775</v>
      </c>
      <c r="V209" s="54">
        <f t="shared" si="73"/>
        <v>68688.81999999999</v>
      </c>
      <c r="W209" s="48">
        <f t="shared" si="73"/>
        <v>238800</v>
      </c>
      <c r="X209" s="99">
        <f t="shared" si="73"/>
        <v>244500</v>
      </c>
      <c r="Y209" s="64">
        <f t="shared" si="63"/>
        <v>329843.8</v>
      </c>
      <c r="Z209" s="28">
        <f t="shared" si="64"/>
        <v>0</v>
      </c>
    </row>
    <row r="210" spans="1:26" s="65" customFormat="1" ht="24" customHeight="1">
      <c r="A210" s="192" t="s">
        <v>306</v>
      </c>
      <c r="B210" s="193"/>
      <c r="C210" s="193"/>
      <c r="D210" s="193"/>
      <c r="E210" s="193"/>
      <c r="F210" s="38"/>
      <c r="G210" s="216" t="s">
        <v>190</v>
      </c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48">
        <f>R211+R215</f>
        <v>329843.80000000005</v>
      </c>
      <c r="S210" s="54">
        <f aca="true" t="shared" si="74" ref="S210:X210">S211+S215</f>
        <v>65012.66</v>
      </c>
      <c r="T210" s="31">
        <f t="shared" si="74"/>
        <v>80367.32</v>
      </c>
      <c r="U210" s="31">
        <f t="shared" si="74"/>
        <v>115775</v>
      </c>
      <c r="V210" s="54">
        <f t="shared" si="74"/>
        <v>68688.81999999999</v>
      </c>
      <c r="W210" s="48">
        <f t="shared" si="74"/>
        <v>238800</v>
      </c>
      <c r="X210" s="99">
        <f t="shared" si="74"/>
        <v>244500</v>
      </c>
      <c r="Y210" s="64">
        <f t="shared" si="63"/>
        <v>329843.8</v>
      </c>
      <c r="Z210" s="28">
        <f t="shared" si="64"/>
        <v>0</v>
      </c>
    </row>
    <row r="211" spans="1:26" s="65" customFormat="1" ht="24" customHeight="1">
      <c r="A211" s="192" t="s">
        <v>309</v>
      </c>
      <c r="B211" s="193"/>
      <c r="C211" s="193"/>
      <c r="D211" s="193"/>
      <c r="E211" s="193"/>
      <c r="F211" s="38"/>
      <c r="G211" s="216" t="s">
        <v>312</v>
      </c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48">
        <f>R212+R214+R213</f>
        <v>267553.96</v>
      </c>
      <c r="S211" s="54">
        <f>S212+S214+S213</f>
        <v>45012.66</v>
      </c>
      <c r="T211" s="31">
        <f>T212+T214+T213</f>
        <v>60367.32</v>
      </c>
      <c r="U211" s="31">
        <f>U212+U214+U213</f>
        <v>95775</v>
      </c>
      <c r="V211" s="54">
        <f>V212+V214</f>
        <v>66398.98</v>
      </c>
      <c r="W211" s="48">
        <f>W212+W214</f>
        <v>158800</v>
      </c>
      <c r="X211" s="99">
        <f>X212+X214</f>
        <v>159500</v>
      </c>
      <c r="Y211" s="64">
        <f t="shared" si="63"/>
        <v>267553.96</v>
      </c>
      <c r="Z211" s="28">
        <f t="shared" si="64"/>
        <v>0</v>
      </c>
    </row>
    <row r="212" spans="1:26" ht="12.75" hidden="1">
      <c r="A212" s="192" t="s">
        <v>310</v>
      </c>
      <c r="B212" s="193"/>
      <c r="C212" s="193"/>
      <c r="D212" s="193"/>
      <c r="E212" s="193"/>
      <c r="F212" s="38"/>
      <c r="G212" s="216" t="s">
        <v>42</v>
      </c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49">
        <f>S212+T212+U212+V212</f>
        <v>175130.96000000002</v>
      </c>
      <c r="S212" s="85">
        <f>36575-5000+7437.66</f>
        <v>39012.66</v>
      </c>
      <c r="T212" s="86">
        <f>36575-7437.66-7410+20229.98</f>
        <v>41957.32</v>
      </c>
      <c r="U212" s="86">
        <f>36575-10000-80+60000</f>
        <v>86495</v>
      </c>
      <c r="V212" s="85">
        <f>36575-28429.98+17000-8264.71-9214.33</f>
        <v>7665.980000000001</v>
      </c>
      <c r="W212" s="105">
        <f>154800</f>
        <v>154800</v>
      </c>
      <c r="X212" s="102">
        <v>155500</v>
      </c>
      <c r="Y212" s="64">
        <f t="shared" si="63"/>
        <v>175130.96000000002</v>
      </c>
      <c r="Z212" s="28">
        <f>R212-S212-T212-U212-V212</f>
        <v>9.094947017729282E-12</v>
      </c>
    </row>
    <row r="213" spans="1:26" ht="12.75" hidden="1">
      <c r="A213" s="192" t="s">
        <v>485</v>
      </c>
      <c r="B213" s="193"/>
      <c r="C213" s="193"/>
      <c r="D213" s="193"/>
      <c r="E213" s="193"/>
      <c r="F213" s="38"/>
      <c r="G213" s="216" t="s">
        <v>43</v>
      </c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49">
        <f>S213+T213+U213+V213</f>
        <v>2200</v>
      </c>
      <c r="S213" s="85"/>
      <c r="T213" s="86"/>
      <c r="U213" s="86">
        <f>2200+10560-10560</f>
        <v>2200</v>
      </c>
      <c r="V213" s="85">
        <v>0</v>
      </c>
      <c r="W213" s="105">
        <v>4000</v>
      </c>
      <c r="X213" s="102"/>
      <c r="Y213" s="64"/>
      <c r="Z213" s="28"/>
    </row>
    <row r="214" spans="1:26" ht="12.75" hidden="1">
      <c r="A214" s="192" t="s">
        <v>311</v>
      </c>
      <c r="B214" s="193"/>
      <c r="C214" s="193"/>
      <c r="D214" s="193"/>
      <c r="E214" s="193"/>
      <c r="F214" s="38"/>
      <c r="G214" s="216" t="s">
        <v>70</v>
      </c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49">
        <f>S214+T214+U214+V214</f>
        <v>90223</v>
      </c>
      <c r="S214" s="85">
        <f>1000+5000</f>
        <v>6000</v>
      </c>
      <c r="T214" s="86">
        <f>1000+17410</f>
        <v>18410</v>
      </c>
      <c r="U214" s="86">
        <f>1000+6000+80</f>
        <v>7080</v>
      </c>
      <c r="V214" s="85">
        <f>1000+33614+12360.09+1559+10560-360.09</f>
        <v>58733</v>
      </c>
      <c r="W214" s="105">
        <v>4000</v>
      </c>
      <c r="X214" s="102">
        <v>4000</v>
      </c>
      <c r="Y214" s="64">
        <f t="shared" si="63"/>
        <v>90223</v>
      </c>
      <c r="Z214" s="28">
        <f>R214-S214-T214-U214-V214</f>
        <v>0</v>
      </c>
    </row>
    <row r="215" spans="1:26" s="65" customFormat="1" ht="24" customHeight="1">
      <c r="A215" s="192" t="s">
        <v>307</v>
      </c>
      <c r="B215" s="193"/>
      <c r="C215" s="193"/>
      <c r="D215" s="193"/>
      <c r="E215" s="193"/>
      <c r="F215" s="38"/>
      <c r="G215" s="216" t="s">
        <v>191</v>
      </c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48">
        <f>R216</f>
        <v>62289.84</v>
      </c>
      <c r="S215" s="54">
        <f aca="true" t="shared" si="75" ref="S215:X215">S216</f>
        <v>20000</v>
      </c>
      <c r="T215" s="31">
        <f t="shared" si="75"/>
        <v>20000</v>
      </c>
      <c r="U215" s="31">
        <f t="shared" si="75"/>
        <v>20000</v>
      </c>
      <c r="V215" s="54">
        <f t="shared" si="75"/>
        <v>2289.84</v>
      </c>
      <c r="W215" s="113">
        <f t="shared" si="75"/>
        <v>80000</v>
      </c>
      <c r="X215" s="112">
        <f t="shared" si="75"/>
        <v>85000</v>
      </c>
      <c r="Y215" s="64">
        <f t="shared" si="63"/>
        <v>62289.84</v>
      </c>
      <c r="Z215" s="28">
        <f t="shared" si="64"/>
        <v>-3.637978807091713E-12</v>
      </c>
    </row>
    <row r="216" spans="1:26" ht="12.75" hidden="1">
      <c r="A216" s="192" t="s">
        <v>308</v>
      </c>
      <c r="B216" s="193"/>
      <c r="C216" s="193"/>
      <c r="D216" s="193"/>
      <c r="E216" s="193"/>
      <c r="F216" s="38"/>
      <c r="G216" s="216" t="s">
        <v>38</v>
      </c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49">
        <f>S216+T216+U216+V216</f>
        <v>62289.84</v>
      </c>
      <c r="S216" s="85">
        <f>20000</f>
        <v>20000</v>
      </c>
      <c r="T216" s="86">
        <f>20000</f>
        <v>20000</v>
      </c>
      <c r="U216" s="86">
        <f>20000</f>
        <v>20000</v>
      </c>
      <c r="V216" s="85">
        <f>20000-17000-710.16</f>
        <v>2289.84</v>
      </c>
      <c r="W216" s="105">
        <v>80000</v>
      </c>
      <c r="X216" s="102">
        <v>85000</v>
      </c>
      <c r="Y216" s="64">
        <f t="shared" si="63"/>
        <v>62289.84</v>
      </c>
      <c r="Z216" s="28">
        <f>R216-S216-T216-U216-V216</f>
        <v>-3.637978807091713E-12</v>
      </c>
    </row>
    <row r="217" spans="1:26" ht="14.25" customHeight="1">
      <c r="A217" s="201" t="s">
        <v>175</v>
      </c>
      <c r="B217" s="202"/>
      <c r="C217" s="202"/>
      <c r="D217" s="202"/>
      <c r="E217" s="202"/>
      <c r="F217" s="72"/>
      <c r="G217" s="288" t="s">
        <v>178</v>
      </c>
      <c r="H217" s="289"/>
      <c r="I217" s="289"/>
      <c r="J217" s="289"/>
      <c r="K217" s="289"/>
      <c r="L217" s="289"/>
      <c r="M217" s="289"/>
      <c r="N217" s="289"/>
      <c r="O217" s="289"/>
      <c r="P217" s="289"/>
      <c r="Q217" s="289"/>
      <c r="R217" s="34">
        <f aca="true" t="shared" si="76" ref="R217:X219">R218</f>
        <v>94800</v>
      </c>
      <c r="S217" s="53">
        <f t="shared" si="76"/>
        <v>0</v>
      </c>
      <c r="T217" s="29">
        <f t="shared" si="76"/>
        <v>94800</v>
      </c>
      <c r="U217" s="29">
        <f t="shared" si="76"/>
        <v>0</v>
      </c>
      <c r="V217" s="53">
        <f t="shared" si="76"/>
        <v>0</v>
      </c>
      <c r="W217" s="34">
        <f t="shared" si="76"/>
        <v>0</v>
      </c>
      <c r="X217" s="96">
        <f t="shared" si="76"/>
        <v>0</v>
      </c>
      <c r="Y217" s="64">
        <f t="shared" si="63"/>
        <v>94800</v>
      </c>
      <c r="Z217" s="28">
        <f aca="true" t="shared" si="77" ref="Z217:Z223">R217-S217-T217-U217-V217</f>
        <v>0</v>
      </c>
    </row>
    <row r="218" spans="1:26" ht="15" customHeight="1">
      <c r="A218" s="186" t="s">
        <v>176</v>
      </c>
      <c r="B218" s="181"/>
      <c r="C218" s="181"/>
      <c r="D218" s="181"/>
      <c r="E218" s="181"/>
      <c r="F218" s="211"/>
      <c r="G218" s="231" t="s">
        <v>179</v>
      </c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46">
        <f t="shared" si="76"/>
        <v>94800</v>
      </c>
      <c r="S218" s="75">
        <f t="shared" si="76"/>
        <v>0</v>
      </c>
      <c r="T218" s="44">
        <f t="shared" si="76"/>
        <v>94800</v>
      </c>
      <c r="U218" s="44">
        <f t="shared" si="76"/>
        <v>0</v>
      </c>
      <c r="V218" s="75">
        <f t="shared" si="76"/>
        <v>0</v>
      </c>
      <c r="W218" s="46">
        <f t="shared" si="76"/>
        <v>0</v>
      </c>
      <c r="X218" s="97">
        <f t="shared" si="76"/>
        <v>0</v>
      </c>
      <c r="Y218" s="64">
        <f t="shared" si="63"/>
        <v>94800</v>
      </c>
      <c r="Z218" s="28">
        <f t="shared" si="77"/>
        <v>0</v>
      </c>
    </row>
    <row r="219" spans="1:26" ht="39" customHeight="1">
      <c r="A219" s="198" t="s">
        <v>177</v>
      </c>
      <c r="B219" s="199"/>
      <c r="C219" s="199"/>
      <c r="D219" s="199"/>
      <c r="E219" s="199"/>
      <c r="F219" s="73"/>
      <c r="G219" s="290" t="s">
        <v>180</v>
      </c>
      <c r="H219" s="291"/>
      <c r="I219" s="291"/>
      <c r="J219" s="291"/>
      <c r="K219" s="291"/>
      <c r="L219" s="291"/>
      <c r="M219" s="291"/>
      <c r="N219" s="291"/>
      <c r="O219" s="291"/>
      <c r="P219" s="291"/>
      <c r="Q219" s="291"/>
      <c r="R219" s="47">
        <f t="shared" si="76"/>
        <v>94800</v>
      </c>
      <c r="S219" s="77">
        <f t="shared" si="76"/>
        <v>0</v>
      </c>
      <c r="T219" s="30">
        <f t="shared" si="76"/>
        <v>94800</v>
      </c>
      <c r="U219" s="30">
        <f t="shared" si="76"/>
        <v>0</v>
      </c>
      <c r="V219" s="77">
        <f t="shared" si="76"/>
        <v>0</v>
      </c>
      <c r="W219" s="47">
        <f t="shared" si="76"/>
        <v>0</v>
      </c>
      <c r="X219" s="98">
        <f t="shared" si="76"/>
        <v>0</v>
      </c>
      <c r="Y219" s="64">
        <f t="shared" si="63"/>
        <v>94800</v>
      </c>
      <c r="Z219" s="28">
        <f t="shared" si="77"/>
        <v>0</v>
      </c>
    </row>
    <row r="220" spans="1:26" ht="25.5" customHeight="1">
      <c r="A220" s="177" t="s">
        <v>417</v>
      </c>
      <c r="B220" s="178"/>
      <c r="C220" s="178"/>
      <c r="D220" s="178"/>
      <c r="E220" s="178"/>
      <c r="F220" s="38"/>
      <c r="G220" s="216" t="s">
        <v>189</v>
      </c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48">
        <f>S220+T220+U220+V220</f>
        <v>94800</v>
      </c>
      <c r="S220" s="54">
        <f aca="true" t="shared" si="78" ref="S220:X220">SUM(S221:S223)</f>
        <v>0</v>
      </c>
      <c r="T220" s="31">
        <f t="shared" si="78"/>
        <v>94800</v>
      </c>
      <c r="U220" s="31">
        <f t="shared" si="78"/>
        <v>0</v>
      </c>
      <c r="V220" s="54">
        <f t="shared" si="78"/>
        <v>0</v>
      </c>
      <c r="W220" s="48">
        <f t="shared" si="78"/>
        <v>0</v>
      </c>
      <c r="X220" s="99">
        <f t="shared" si="78"/>
        <v>0</v>
      </c>
      <c r="Y220" s="64">
        <f t="shared" si="63"/>
        <v>94800</v>
      </c>
      <c r="Z220" s="28">
        <f t="shared" si="77"/>
        <v>0</v>
      </c>
    </row>
    <row r="221" spans="1:26" ht="25.5" customHeight="1" hidden="1">
      <c r="A221" s="177" t="s">
        <v>418</v>
      </c>
      <c r="B221" s="178"/>
      <c r="C221" s="178"/>
      <c r="D221" s="178"/>
      <c r="E221" s="178"/>
      <c r="F221" s="38"/>
      <c r="G221" s="216" t="s">
        <v>190</v>
      </c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49">
        <f>S221+T221+U221+V221</f>
        <v>0</v>
      </c>
      <c r="S221" s="78">
        <v>0</v>
      </c>
      <c r="T221" s="32">
        <v>0</v>
      </c>
      <c r="U221" s="32">
        <v>0</v>
      </c>
      <c r="V221" s="78">
        <v>0</v>
      </c>
      <c r="W221" s="49">
        <v>0</v>
      </c>
      <c r="X221" s="101">
        <v>0</v>
      </c>
      <c r="Y221" s="64">
        <f t="shared" si="63"/>
        <v>0</v>
      </c>
      <c r="Z221" s="28">
        <f t="shared" si="77"/>
        <v>0</v>
      </c>
    </row>
    <row r="222" spans="1:26" ht="16.5" customHeight="1" hidden="1">
      <c r="A222" s="177" t="s">
        <v>419</v>
      </c>
      <c r="B222" s="178"/>
      <c r="C222" s="178"/>
      <c r="D222" s="178"/>
      <c r="E222" s="178"/>
      <c r="F222" s="38"/>
      <c r="G222" s="216" t="s">
        <v>42</v>
      </c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49">
        <f>S222+T222+U222+V222</f>
        <v>94800</v>
      </c>
      <c r="S222" s="78">
        <v>0</v>
      </c>
      <c r="T222" s="32">
        <f>75840+18960</f>
        <v>94800</v>
      </c>
      <c r="U222" s="32">
        <v>0</v>
      </c>
      <c r="V222" s="78">
        <v>0</v>
      </c>
      <c r="W222" s="105">
        <v>0</v>
      </c>
      <c r="X222" s="102">
        <v>0</v>
      </c>
      <c r="Y222" s="64">
        <f t="shared" si="63"/>
        <v>94800</v>
      </c>
      <c r="Z222" s="28">
        <f t="shared" si="77"/>
        <v>0</v>
      </c>
    </row>
    <row r="223" spans="1:26" ht="16.5" customHeight="1" hidden="1">
      <c r="A223" s="192" t="s">
        <v>416</v>
      </c>
      <c r="B223" s="193"/>
      <c r="C223" s="193"/>
      <c r="D223" s="193"/>
      <c r="E223" s="193"/>
      <c r="F223" s="38"/>
      <c r="G223" s="216" t="s">
        <v>70</v>
      </c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49">
        <f>S223+T223+U223+V223</f>
        <v>0</v>
      </c>
      <c r="S223" s="85">
        <v>0</v>
      </c>
      <c r="T223" s="86">
        <v>0</v>
      </c>
      <c r="U223" s="86">
        <v>0</v>
      </c>
      <c r="V223" s="85">
        <v>0</v>
      </c>
      <c r="W223" s="105">
        <v>0</v>
      </c>
      <c r="X223" s="102">
        <v>0</v>
      </c>
      <c r="Y223" s="64">
        <f t="shared" si="63"/>
        <v>0</v>
      </c>
      <c r="Z223" s="28">
        <f t="shared" si="77"/>
        <v>0</v>
      </c>
    </row>
    <row r="224" spans="1:26" s="4" customFormat="1" ht="12.75">
      <c r="A224" s="201" t="s">
        <v>121</v>
      </c>
      <c r="B224" s="202"/>
      <c r="C224" s="202"/>
      <c r="D224" s="202"/>
      <c r="E224" s="202"/>
      <c r="F224" s="185"/>
      <c r="G224" s="182" t="s">
        <v>49</v>
      </c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34">
        <f>R225+R248+R257</f>
        <v>3329579.07</v>
      </c>
      <c r="S224" s="53">
        <f aca="true" t="shared" si="79" ref="S224:X224">S225+S248</f>
        <v>91040.44</v>
      </c>
      <c r="T224" s="29">
        <f t="shared" si="79"/>
        <v>1264826.33</v>
      </c>
      <c r="U224" s="29">
        <f>U225+U248+U257</f>
        <v>1702246.67</v>
      </c>
      <c r="V224" s="53">
        <f t="shared" si="79"/>
        <v>120833.01999999999</v>
      </c>
      <c r="W224" s="34">
        <f t="shared" si="79"/>
        <v>362800</v>
      </c>
      <c r="X224" s="96">
        <f t="shared" si="79"/>
        <v>371500</v>
      </c>
      <c r="Y224" s="64">
        <f t="shared" si="63"/>
        <v>3178946.46</v>
      </c>
      <c r="Z224" s="28">
        <f>R224-S224-T224-U224-V224</f>
        <v>150632.6099999999</v>
      </c>
    </row>
    <row r="225" spans="1:26" s="3" customFormat="1" ht="12.75">
      <c r="A225" s="186" t="s">
        <v>314</v>
      </c>
      <c r="B225" s="181"/>
      <c r="C225" s="181"/>
      <c r="D225" s="181"/>
      <c r="E225" s="181"/>
      <c r="F225" s="211"/>
      <c r="G225" s="184" t="s">
        <v>313</v>
      </c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46">
        <f>R226+R234</f>
        <v>969956.46</v>
      </c>
      <c r="S225" s="149">
        <f aca="true" t="shared" si="80" ref="S225:X225">S226+S234</f>
        <v>91040.44</v>
      </c>
      <c r="T225" s="44">
        <f t="shared" si="80"/>
        <v>121226.33</v>
      </c>
      <c r="U225" s="44">
        <f t="shared" si="80"/>
        <v>636856.67</v>
      </c>
      <c r="V225" s="75">
        <f t="shared" si="80"/>
        <v>120833.01999999999</v>
      </c>
      <c r="W225" s="46">
        <f t="shared" si="80"/>
        <v>362800</v>
      </c>
      <c r="X225" s="97">
        <f t="shared" si="80"/>
        <v>371500</v>
      </c>
      <c r="Y225" s="64">
        <f t="shared" si="63"/>
        <v>969956.4600000001</v>
      </c>
      <c r="Z225" s="28">
        <f>R225-S225-T225-U225-V225</f>
        <v>0</v>
      </c>
    </row>
    <row r="226" spans="1:26" s="3" customFormat="1" ht="27.75" customHeight="1">
      <c r="A226" s="198" t="s">
        <v>458</v>
      </c>
      <c r="B226" s="199"/>
      <c r="C226" s="199"/>
      <c r="D226" s="199"/>
      <c r="E226" s="199"/>
      <c r="F226" s="200"/>
      <c r="G226" s="220" t="s">
        <v>462</v>
      </c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158">
        <f>R231+R227</f>
        <v>598703.13</v>
      </c>
      <c r="S226" s="30">
        <f aca="true" t="shared" si="81" ref="S226:X226">S227+S231</f>
        <v>8059.44</v>
      </c>
      <c r="T226" s="30">
        <f t="shared" si="81"/>
        <v>0</v>
      </c>
      <c r="U226" s="30">
        <f t="shared" si="81"/>
        <v>556135</v>
      </c>
      <c r="V226" s="150">
        <f t="shared" si="81"/>
        <v>34508.689999999995</v>
      </c>
      <c r="W226" s="47">
        <f t="shared" si="81"/>
        <v>0</v>
      </c>
      <c r="X226" s="98">
        <f t="shared" si="81"/>
        <v>0</v>
      </c>
      <c r="Y226" s="64">
        <f>SUM(S226:V226)</f>
        <v>598703.1299999999</v>
      </c>
      <c r="Z226" s="28">
        <f>R226-S226-T226-U226-V226</f>
        <v>6.548361852765083E-11</v>
      </c>
    </row>
    <row r="227" spans="1:26" s="3" customFormat="1" ht="27.75" customHeight="1">
      <c r="A227" s="192" t="s">
        <v>497</v>
      </c>
      <c r="B227" s="193"/>
      <c r="C227" s="193"/>
      <c r="D227" s="193"/>
      <c r="E227" s="193"/>
      <c r="F227" s="38"/>
      <c r="G227" s="216" t="s">
        <v>189</v>
      </c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48">
        <f>R228</f>
        <v>556135</v>
      </c>
      <c r="S227" s="54">
        <f aca="true" t="shared" si="82" ref="S227:X227">S228</f>
        <v>0</v>
      </c>
      <c r="T227" s="31">
        <f t="shared" si="82"/>
        <v>0</v>
      </c>
      <c r="U227" s="31">
        <f t="shared" si="82"/>
        <v>556135</v>
      </c>
      <c r="V227" s="167">
        <f t="shared" si="82"/>
        <v>0</v>
      </c>
      <c r="W227" s="48">
        <f t="shared" si="82"/>
        <v>0</v>
      </c>
      <c r="X227" s="99">
        <f t="shared" si="82"/>
        <v>0</v>
      </c>
      <c r="Y227" s="64"/>
      <c r="Z227" s="28"/>
    </row>
    <row r="228" spans="1:26" s="3" customFormat="1" ht="27.75" customHeight="1">
      <c r="A228" s="192" t="s">
        <v>498</v>
      </c>
      <c r="B228" s="193"/>
      <c r="C228" s="193"/>
      <c r="D228" s="193"/>
      <c r="E228" s="193"/>
      <c r="F228" s="38"/>
      <c r="G228" s="216" t="s">
        <v>190</v>
      </c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48">
        <f>R229+R230</f>
        <v>556135</v>
      </c>
      <c r="S228" s="151">
        <f aca="true" t="shared" si="83" ref="S228:X228">S229+S230</f>
        <v>0</v>
      </c>
      <c r="T228" s="31">
        <f t="shared" si="83"/>
        <v>0</v>
      </c>
      <c r="U228" s="31">
        <f t="shared" si="83"/>
        <v>556135</v>
      </c>
      <c r="V228" s="99">
        <f t="shared" si="83"/>
        <v>0</v>
      </c>
      <c r="W228" s="48">
        <f t="shared" si="83"/>
        <v>0</v>
      </c>
      <c r="X228" s="48">
        <f t="shared" si="83"/>
        <v>0</v>
      </c>
      <c r="Y228" s="64"/>
      <c r="Z228" s="28"/>
    </row>
    <row r="229" spans="1:26" s="3" customFormat="1" ht="12.75" hidden="1">
      <c r="A229" s="192" t="s">
        <v>499</v>
      </c>
      <c r="B229" s="193"/>
      <c r="C229" s="193"/>
      <c r="D229" s="193"/>
      <c r="E229" s="193"/>
      <c r="F229" s="194"/>
      <c r="G229" s="216" t="s">
        <v>41</v>
      </c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49">
        <f>SUM(S229:V229)</f>
        <v>528975.48</v>
      </c>
      <c r="S229" s="85">
        <v>0</v>
      </c>
      <c r="T229" s="86">
        <v>0</v>
      </c>
      <c r="U229" s="86">
        <f>100000+556135-60712-39288-1526.74-25632.78</f>
        <v>528975.48</v>
      </c>
      <c r="V229" s="166">
        <v>0</v>
      </c>
      <c r="W229" s="105">
        <v>0</v>
      </c>
      <c r="X229" s="102">
        <v>0</v>
      </c>
      <c r="Y229" s="64"/>
      <c r="Z229" s="28"/>
    </row>
    <row r="230" spans="1:26" s="3" customFormat="1" ht="12.75" hidden="1">
      <c r="A230" s="192" t="s">
        <v>532</v>
      </c>
      <c r="B230" s="193"/>
      <c r="C230" s="193"/>
      <c r="D230" s="193"/>
      <c r="E230" s="193"/>
      <c r="F230" s="194"/>
      <c r="G230" s="216" t="s">
        <v>42</v>
      </c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49">
        <f>SUM(S230:V230)</f>
        <v>27159.52</v>
      </c>
      <c r="S230" s="85">
        <v>0</v>
      </c>
      <c r="T230" s="86">
        <v>0</v>
      </c>
      <c r="U230" s="86">
        <f>1526.74+25632.78</f>
        <v>27159.52</v>
      </c>
      <c r="V230" s="166">
        <v>0</v>
      </c>
      <c r="W230" s="105">
        <v>0</v>
      </c>
      <c r="X230" s="102">
        <v>0</v>
      </c>
      <c r="Y230" s="64"/>
      <c r="Z230" s="28"/>
    </row>
    <row r="231" spans="1:26" ht="12.75" customHeight="1">
      <c r="A231" s="192" t="s">
        <v>459</v>
      </c>
      <c r="B231" s="193"/>
      <c r="C231" s="193"/>
      <c r="D231" s="193"/>
      <c r="E231" s="193"/>
      <c r="F231" s="38"/>
      <c r="G231" s="216" t="s">
        <v>238</v>
      </c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48">
        <f>R232</f>
        <v>42568.13</v>
      </c>
      <c r="S231" s="54">
        <f aca="true" t="shared" si="84" ref="S231:X232">S232</f>
        <v>8059.44</v>
      </c>
      <c r="T231" s="31">
        <f t="shared" si="84"/>
        <v>0</v>
      </c>
      <c r="U231" s="31">
        <f t="shared" si="84"/>
        <v>0</v>
      </c>
      <c r="V231" s="54">
        <f t="shared" si="84"/>
        <v>34508.689999999995</v>
      </c>
      <c r="W231" s="48">
        <f t="shared" si="84"/>
        <v>0</v>
      </c>
      <c r="X231" s="99">
        <f t="shared" si="84"/>
        <v>0</v>
      </c>
      <c r="Y231" s="64">
        <f>SUM(S231:V231)</f>
        <v>42568.13</v>
      </c>
      <c r="Z231" s="28">
        <f aca="true" t="shared" si="85" ref="Z231:Z275">R231-S231-T231-U231-V231</f>
        <v>0</v>
      </c>
    </row>
    <row r="232" spans="1:26" s="65" customFormat="1" ht="27.75" customHeight="1">
      <c r="A232" s="192" t="s">
        <v>460</v>
      </c>
      <c r="B232" s="193"/>
      <c r="C232" s="193"/>
      <c r="D232" s="193"/>
      <c r="E232" s="193"/>
      <c r="F232" s="38"/>
      <c r="G232" s="216" t="s">
        <v>450</v>
      </c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48">
        <f>R233</f>
        <v>42568.13</v>
      </c>
      <c r="S232" s="54">
        <f t="shared" si="84"/>
        <v>8059.44</v>
      </c>
      <c r="T232" s="31">
        <f t="shared" si="84"/>
        <v>0</v>
      </c>
      <c r="U232" s="31">
        <f t="shared" si="84"/>
        <v>0</v>
      </c>
      <c r="V232" s="54">
        <f t="shared" si="84"/>
        <v>34508.689999999995</v>
      </c>
      <c r="W232" s="48">
        <f t="shared" si="84"/>
        <v>0</v>
      </c>
      <c r="X232" s="99">
        <f t="shared" si="84"/>
        <v>0</v>
      </c>
      <c r="Y232" s="64">
        <f>SUM(S232:V232)</f>
        <v>42568.13</v>
      </c>
      <c r="Z232" s="28">
        <f t="shared" si="85"/>
        <v>0</v>
      </c>
    </row>
    <row r="233" spans="1:26" ht="27" customHeight="1" hidden="1">
      <c r="A233" s="192" t="s">
        <v>461</v>
      </c>
      <c r="B233" s="193"/>
      <c r="C233" s="193"/>
      <c r="D233" s="193"/>
      <c r="E233" s="193"/>
      <c r="F233" s="194"/>
      <c r="G233" s="233" t="s">
        <v>96</v>
      </c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49">
        <f>SUM(S233:V233)</f>
        <v>42568.13</v>
      </c>
      <c r="S233" s="85">
        <f>100000-87816-4124.56</f>
        <v>8059.44</v>
      </c>
      <c r="T233" s="86">
        <f>700000-20902-100000-1000-49600-15154-6572-320000-186772</f>
        <v>0</v>
      </c>
      <c r="U233" s="86">
        <v>0</v>
      </c>
      <c r="V233" s="85">
        <f>100000-60000-40000+42568.13-8059.44</f>
        <v>34508.689999999995</v>
      </c>
      <c r="W233" s="105">
        <v>0</v>
      </c>
      <c r="X233" s="102">
        <v>0</v>
      </c>
      <c r="Y233" s="64">
        <f>SUM(S233:V233)</f>
        <v>42568.13</v>
      </c>
      <c r="Z233" s="28">
        <f t="shared" si="85"/>
        <v>0</v>
      </c>
    </row>
    <row r="234" spans="1:26" s="3" customFormat="1" ht="13.5" customHeight="1">
      <c r="A234" s="198" t="s">
        <v>122</v>
      </c>
      <c r="B234" s="199"/>
      <c r="C234" s="199"/>
      <c r="D234" s="199"/>
      <c r="E234" s="199"/>
      <c r="F234" s="200"/>
      <c r="G234" s="220" t="s">
        <v>89</v>
      </c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47">
        <f>R235</f>
        <v>371253.33</v>
      </c>
      <c r="S234" s="77">
        <f aca="true" t="shared" si="86" ref="S234:X236">S235</f>
        <v>82981</v>
      </c>
      <c r="T234" s="30">
        <f t="shared" si="86"/>
        <v>121226.33</v>
      </c>
      <c r="U234" s="30">
        <f t="shared" si="86"/>
        <v>80721.67</v>
      </c>
      <c r="V234" s="77">
        <f t="shared" si="86"/>
        <v>86324.33</v>
      </c>
      <c r="W234" s="47">
        <f t="shared" si="86"/>
        <v>362800</v>
      </c>
      <c r="X234" s="98">
        <f t="shared" si="86"/>
        <v>371500</v>
      </c>
      <c r="Y234" s="64">
        <f t="shared" si="63"/>
        <v>371253.33</v>
      </c>
      <c r="Z234" s="28">
        <f t="shared" si="85"/>
        <v>0</v>
      </c>
    </row>
    <row r="235" spans="1:26" ht="24" customHeight="1">
      <c r="A235" s="192" t="s">
        <v>315</v>
      </c>
      <c r="B235" s="193"/>
      <c r="C235" s="193"/>
      <c r="D235" s="193"/>
      <c r="E235" s="193"/>
      <c r="F235" s="38"/>
      <c r="G235" s="216" t="s">
        <v>189</v>
      </c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48">
        <f>R236</f>
        <v>371253.33</v>
      </c>
      <c r="S235" s="54">
        <f t="shared" si="86"/>
        <v>82981</v>
      </c>
      <c r="T235" s="31">
        <f t="shared" si="86"/>
        <v>121226.33</v>
      </c>
      <c r="U235" s="31">
        <f t="shared" si="86"/>
        <v>80721.67</v>
      </c>
      <c r="V235" s="54">
        <f t="shared" si="86"/>
        <v>86324.33</v>
      </c>
      <c r="W235" s="48">
        <f t="shared" si="86"/>
        <v>362800</v>
      </c>
      <c r="X235" s="99">
        <f t="shared" si="86"/>
        <v>371500</v>
      </c>
      <c r="Y235" s="64">
        <f t="shared" si="63"/>
        <v>371253.33</v>
      </c>
      <c r="Z235" s="28">
        <f t="shared" si="85"/>
        <v>0</v>
      </c>
    </row>
    <row r="236" spans="1:26" s="65" customFormat="1" ht="24" customHeight="1">
      <c r="A236" s="192" t="s">
        <v>316</v>
      </c>
      <c r="B236" s="193"/>
      <c r="C236" s="193"/>
      <c r="D236" s="193"/>
      <c r="E236" s="193"/>
      <c r="F236" s="38"/>
      <c r="G236" s="216" t="s">
        <v>190</v>
      </c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48">
        <f>R237</f>
        <v>371253.33</v>
      </c>
      <c r="S236" s="54">
        <f t="shared" si="86"/>
        <v>82981</v>
      </c>
      <c r="T236" s="31">
        <f t="shared" si="86"/>
        <v>121226.33</v>
      </c>
      <c r="U236" s="31">
        <f t="shared" si="86"/>
        <v>80721.67</v>
      </c>
      <c r="V236" s="54">
        <f t="shared" si="86"/>
        <v>86324.33</v>
      </c>
      <c r="W236" s="48">
        <f t="shared" si="86"/>
        <v>362800</v>
      </c>
      <c r="X236" s="99">
        <f t="shared" si="86"/>
        <v>371500</v>
      </c>
      <c r="Y236" s="64">
        <f t="shared" si="63"/>
        <v>371253.33</v>
      </c>
      <c r="Z236" s="28">
        <f t="shared" si="85"/>
        <v>0</v>
      </c>
    </row>
    <row r="237" spans="1:26" s="65" customFormat="1" ht="24" customHeight="1">
      <c r="A237" s="192" t="s">
        <v>317</v>
      </c>
      <c r="B237" s="193"/>
      <c r="C237" s="193"/>
      <c r="D237" s="193"/>
      <c r="E237" s="193"/>
      <c r="F237" s="38"/>
      <c r="G237" s="216" t="s">
        <v>191</v>
      </c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48">
        <f>SUM(R238:R242)</f>
        <v>371253.33</v>
      </c>
      <c r="S237" s="54">
        <f aca="true" t="shared" si="87" ref="S237:X237">SUM(S238:S242)</f>
        <v>82981</v>
      </c>
      <c r="T237" s="31">
        <f t="shared" si="87"/>
        <v>121226.33</v>
      </c>
      <c r="U237" s="31">
        <f t="shared" si="87"/>
        <v>80721.67</v>
      </c>
      <c r="V237" s="54">
        <f t="shared" si="87"/>
        <v>86324.33</v>
      </c>
      <c r="W237" s="113">
        <f t="shared" si="87"/>
        <v>362800</v>
      </c>
      <c r="X237" s="112">
        <f t="shared" si="87"/>
        <v>371500</v>
      </c>
      <c r="Y237" s="64">
        <f t="shared" si="63"/>
        <v>371253.33</v>
      </c>
      <c r="Z237" s="28">
        <f t="shared" si="85"/>
        <v>0</v>
      </c>
    </row>
    <row r="238" spans="1:26" ht="12.75" hidden="1">
      <c r="A238" s="192" t="s">
        <v>318</v>
      </c>
      <c r="B238" s="193"/>
      <c r="C238" s="193"/>
      <c r="D238" s="193"/>
      <c r="E238" s="193"/>
      <c r="F238" s="194"/>
      <c r="G238" s="216" t="s">
        <v>41</v>
      </c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49">
        <f>SUM(S238:V238)</f>
        <v>119506</v>
      </c>
      <c r="S238" s="85">
        <f>47475-11560</f>
        <v>35915</v>
      </c>
      <c r="T238" s="86">
        <f>47475</f>
        <v>47475</v>
      </c>
      <c r="U238" s="86">
        <f>47475-47475+24975-1389</f>
        <v>23586</v>
      </c>
      <c r="V238" s="85">
        <f>47475-22500-24975+34250-21720</f>
        <v>12530</v>
      </c>
      <c r="W238" s="105">
        <v>202800</v>
      </c>
      <c r="X238" s="102">
        <v>211500</v>
      </c>
      <c r="Y238" s="64">
        <f t="shared" si="63"/>
        <v>119506</v>
      </c>
      <c r="Z238" s="28">
        <f t="shared" si="85"/>
        <v>0</v>
      </c>
    </row>
    <row r="239" spans="1:26" ht="12.75" hidden="1">
      <c r="A239" s="192" t="s">
        <v>319</v>
      </c>
      <c r="B239" s="193"/>
      <c r="C239" s="193"/>
      <c r="D239" s="193"/>
      <c r="E239" s="193"/>
      <c r="F239" s="194"/>
      <c r="G239" s="216" t="s">
        <v>42</v>
      </c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49">
        <f>SUM(S239:V239)</f>
        <v>240509.33000000002</v>
      </c>
      <c r="S239" s="85">
        <f>32500+11560</f>
        <v>44060</v>
      </c>
      <c r="T239" s="86">
        <f>32500+25000+15239.33</f>
        <v>72739.33</v>
      </c>
      <c r="U239" s="86">
        <f>32500-25000+4030+34875-10000+17260.67</f>
        <v>53665.67</v>
      </c>
      <c r="V239" s="85">
        <f>32500-15239.33-4889.67+60000-2761.67+435</f>
        <v>70044.33</v>
      </c>
      <c r="W239" s="105">
        <v>130000</v>
      </c>
      <c r="X239" s="102">
        <v>130000</v>
      </c>
      <c r="Y239" s="64">
        <f t="shared" si="63"/>
        <v>240509.33000000002</v>
      </c>
      <c r="Z239" s="28">
        <f t="shared" si="85"/>
        <v>0</v>
      </c>
    </row>
    <row r="240" spans="1:26" ht="12.75" hidden="1">
      <c r="A240" s="192" t="s">
        <v>320</v>
      </c>
      <c r="B240" s="193"/>
      <c r="C240" s="193"/>
      <c r="D240" s="193"/>
      <c r="E240" s="193"/>
      <c r="F240" s="194"/>
      <c r="G240" s="216" t="s">
        <v>71</v>
      </c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49">
        <f>SUM(S240:V240)</f>
        <v>0</v>
      </c>
      <c r="S240" s="85">
        <v>0</v>
      </c>
      <c r="T240" s="86">
        <v>0</v>
      </c>
      <c r="U240" s="86">
        <v>0</v>
      </c>
      <c r="V240" s="85">
        <v>0</v>
      </c>
      <c r="W240" s="105">
        <v>0</v>
      </c>
      <c r="X240" s="102">
        <v>0</v>
      </c>
      <c r="Y240" s="64">
        <f aca="true" t="shared" si="88" ref="Y240:Y351">SUM(S240:V240)</f>
        <v>0</v>
      </c>
      <c r="Z240" s="28">
        <f t="shared" si="85"/>
        <v>0</v>
      </c>
    </row>
    <row r="241" spans="1:26" ht="12.75" hidden="1">
      <c r="A241" s="192" t="s">
        <v>321</v>
      </c>
      <c r="B241" s="193"/>
      <c r="C241" s="193"/>
      <c r="D241" s="193"/>
      <c r="E241" s="193"/>
      <c r="F241" s="194"/>
      <c r="G241" s="216" t="s">
        <v>43</v>
      </c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49">
        <f>SUM(S241:V241)</f>
        <v>0</v>
      </c>
      <c r="S241" s="85">
        <v>0</v>
      </c>
      <c r="T241" s="86">
        <v>0</v>
      </c>
      <c r="U241" s="86">
        <v>0</v>
      </c>
      <c r="V241" s="85">
        <v>0</v>
      </c>
      <c r="W241" s="105">
        <v>0</v>
      </c>
      <c r="X241" s="102">
        <v>0</v>
      </c>
      <c r="Y241" s="64">
        <f t="shared" si="88"/>
        <v>0</v>
      </c>
      <c r="Z241" s="28">
        <f t="shared" si="85"/>
        <v>0</v>
      </c>
    </row>
    <row r="242" spans="1:26" ht="19.5" customHeight="1" hidden="1">
      <c r="A242" s="192" t="s">
        <v>322</v>
      </c>
      <c r="B242" s="193"/>
      <c r="C242" s="193"/>
      <c r="D242" s="193"/>
      <c r="E242" s="193"/>
      <c r="F242" s="194"/>
      <c r="G242" s="224" t="s">
        <v>70</v>
      </c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49">
        <f>SUM(S242:V242)</f>
        <v>11238</v>
      </c>
      <c r="S242" s="85">
        <f>7500-4494</f>
        <v>3006</v>
      </c>
      <c r="T242" s="86">
        <f>7500-6488</f>
        <v>1012</v>
      </c>
      <c r="U242" s="86">
        <f>7500-4030</f>
        <v>3470</v>
      </c>
      <c r="V242" s="85">
        <f>7500-7500+3750</f>
        <v>3750</v>
      </c>
      <c r="W242" s="105">
        <v>30000</v>
      </c>
      <c r="X242" s="102">
        <v>30000</v>
      </c>
      <c r="Y242" s="64">
        <f t="shared" si="88"/>
        <v>11238</v>
      </c>
      <c r="Z242" s="28">
        <f t="shared" si="85"/>
        <v>0</v>
      </c>
    </row>
    <row r="243" spans="1:26" s="4" customFormat="1" ht="15.75" customHeight="1" hidden="1">
      <c r="A243" s="201" t="s">
        <v>123</v>
      </c>
      <c r="B243" s="202"/>
      <c r="C243" s="202"/>
      <c r="D243" s="202"/>
      <c r="E243" s="202"/>
      <c r="F243" s="185"/>
      <c r="G243" s="182" t="s">
        <v>92</v>
      </c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34">
        <f>R244</f>
        <v>0</v>
      </c>
      <c r="S243" s="53">
        <f aca="true" t="shared" si="89" ref="S243:X245">S244</f>
        <v>0</v>
      </c>
      <c r="T243" s="29">
        <f t="shared" si="89"/>
        <v>0</v>
      </c>
      <c r="U243" s="29">
        <f t="shared" si="89"/>
        <v>0</v>
      </c>
      <c r="V243" s="53">
        <f t="shared" si="89"/>
        <v>0</v>
      </c>
      <c r="W243" s="123">
        <f t="shared" si="89"/>
        <v>0</v>
      </c>
      <c r="X243" s="126">
        <f t="shared" si="89"/>
        <v>0</v>
      </c>
      <c r="Y243" s="64">
        <f t="shared" si="88"/>
        <v>0</v>
      </c>
      <c r="Z243" s="28">
        <f t="shared" si="85"/>
        <v>0</v>
      </c>
    </row>
    <row r="244" spans="1:26" s="3" customFormat="1" ht="15.75" customHeight="1" hidden="1">
      <c r="A244" s="186" t="s">
        <v>124</v>
      </c>
      <c r="B244" s="181"/>
      <c r="C244" s="181"/>
      <c r="D244" s="181"/>
      <c r="E244" s="181"/>
      <c r="F244" s="211"/>
      <c r="G244" s="184" t="s">
        <v>97</v>
      </c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46">
        <f>R245</f>
        <v>0</v>
      </c>
      <c r="S244" s="75">
        <f t="shared" si="89"/>
        <v>0</v>
      </c>
      <c r="T244" s="44">
        <f t="shared" si="89"/>
        <v>0</v>
      </c>
      <c r="U244" s="44">
        <f t="shared" si="89"/>
        <v>0</v>
      </c>
      <c r="V244" s="75">
        <f t="shared" si="89"/>
        <v>0</v>
      </c>
      <c r="W244" s="124">
        <f t="shared" si="89"/>
        <v>0</v>
      </c>
      <c r="X244" s="127">
        <f t="shared" si="89"/>
        <v>0</v>
      </c>
      <c r="Y244" s="64">
        <f t="shared" si="88"/>
        <v>0</v>
      </c>
      <c r="Z244" s="28">
        <f t="shared" si="85"/>
        <v>0</v>
      </c>
    </row>
    <row r="245" spans="1:26" s="3" customFormat="1" ht="13.5" customHeight="1" hidden="1">
      <c r="A245" s="198" t="s">
        <v>125</v>
      </c>
      <c r="B245" s="199"/>
      <c r="C245" s="199"/>
      <c r="D245" s="199"/>
      <c r="E245" s="199"/>
      <c r="F245" s="200"/>
      <c r="G245" s="220" t="s">
        <v>93</v>
      </c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47">
        <f>R246</f>
        <v>0</v>
      </c>
      <c r="S245" s="77">
        <f t="shared" si="89"/>
        <v>0</v>
      </c>
      <c r="T245" s="30">
        <f t="shared" si="89"/>
        <v>0</v>
      </c>
      <c r="U245" s="30">
        <f t="shared" si="89"/>
        <v>0</v>
      </c>
      <c r="V245" s="77">
        <f t="shared" si="89"/>
        <v>0</v>
      </c>
      <c r="W245" s="125">
        <f t="shared" si="89"/>
        <v>0</v>
      </c>
      <c r="X245" s="128">
        <f t="shared" si="89"/>
        <v>0</v>
      </c>
      <c r="Y245" s="64">
        <f t="shared" si="88"/>
        <v>0</v>
      </c>
      <c r="Z245" s="28">
        <f t="shared" si="85"/>
        <v>0</v>
      </c>
    </row>
    <row r="246" spans="1:26" ht="15" customHeight="1" hidden="1">
      <c r="A246" s="192" t="s">
        <v>323</v>
      </c>
      <c r="B246" s="193"/>
      <c r="C246" s="193"/>
      <c r="D246" s="193"/>
      <c r="E246" s="193"/>
      <c r="F246" s="194"/>
      <c r="G246" s="216" t="s">
        <v>94</v>
      </c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48">
        <f aca="true" t="shared" si="90" ref="R246:X246">SUM(R247:R247)</f>
        <v>0</v>
      </c>
      <c r="S246" s="54">
        <f t="shared" si="90"/>
        <v>0</v>
      </c>
      <c r="T246" s="31">
        <f t="shared" si="90"/>
        <v>0</v>
      </c>
      <c r="U246" s="31">
        <f t="shared" si="90"/>
        <v>0</v>
      </c>
      <c r="V246" s="54">
        <f t="shared" si="90"/>
        <v>0</v>
      </c>
      <c r="W246" s="113">
        <f t="shared" si="90"/>
        <v>0</v>
      </c>
      <c r="X246" s="112">
        <f t="shared" si="90"/>
        <v>0</v>
      </c>
      <c r="Y246" s="64">
        <f t="shared" si="88"/>
        <v>0</v>
      </c>
      <c r="Z246" s="28">
        <f t="shared" si="85"/>
        <v>0</v>
      </c>
    </row>
    <row r="247" spans="1:26" ht="24.75" customHeight="1" hidden="1">
      <c r="A247" s="192" t="s">
        <v>324</v>
      </c>
      <c r="B247" s="193"/>
      <c r="C247" s="193"/>
      <c r="D247" s="193"/>
      <c r="E247" s="193"/>
      <c r="F247" s="194"/>
      <c r="G247" s="216" t="s">
        <v>96</v>
      </c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49">
        <f>SUM(S247:V247)</f>
        <v>0</v>
      </c>
      <c r="S247" s="78"/>
      <c r="T247" s="32"/>
      <c r="U247" s="32"/>
      <c r="V247" s="78"/>
      <c r="W247" s="105">
        <v>0</v>
      </c>
      <c r="X247" s="102">
        <v>0</v>
      </c>
      <c r="Y247" s="64">
        <f t="shared" si="88"/>
        <v>0</v>
      </c>
      <c r="Z247" s="28">
        <f t="shared" si="85"/>
        <v>0</v>
      </c>
    </row>
    <row r="248" spans="1:26" s="3" customFormat="1" ht="12.75">
      <c r="A248" s="186" t="s">
        <v>384</v>
      </c>
      <c r="B248" s="181"/>
      <c r="C248" s="181"/>
      <c r="D248" s="181"/>
      <c r="E248" s="181"/>
      <c r="F248" s="211"/>
      <c r="G248" s="184" t="s">
        <v>179</v>
      </c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46">
        <f>R249</f>
        <v>2088800</v>
      </c>
      <c r="S248" s="75">
        <f aca="true" t="shared" si="91" ref="S248:X252">S249</f>
        <v>0</v>
      </c>
      <c r="T248" s="44">
        <f t="shared" si="91"/>
        <v>1143600</v>
      </c>
      <c r="U248" s="44">
        <f t="shared" si="91"/>
        <v>945200</v>
      </c>
      <c r="V248" s="75">
        <f t="shared" si="91"/>
        <v>0</v>
      </c>
      <c r="W248" s="46">
        <f t="shared" si="91"/>
        <v>0</v>
      </c>
      <c r="X248" s="97">
        <f t="shared" si="91"/>
        <v>0</v>
      </c>
      <c r="Y248" s="64">
        <f t="shared" si="88"/>
        <v>2088800</v>
      </c>
      <c r="Z248" s="28">
        <f t="shared" si="85"/>
        <v>0</v>
      </c>
    </row>
    <row r="249" spans="1:26" s="3" customFormat="1" ht="13.5" customHeight="1">
      <c r="A249" s="198" t="s">
        <v>385</v>
      </c>
      <c r="B249" s="199"/>
      <c r="C249" s="199"/>
      <c r="D249" s="199"/>
      <c r="E249" s="199"/>
      <c r="F249" s="200"/>
      <c r="G249" s="220" t="s">
        <v>386</v>
      </c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165">
        <f>R250+R254</f>
        <v>2088800</v>
      </c>
      <c r="S249" s="30">
        <f aca="true" t="shared" si="92" ref="S249:X249">S250+S254</f>
        <v>0</v>
      </c>
      <c r="T249" s="30">
        <f t="shared" si="92"/>
        <v>1143600</v>
      </c>
      <c r="U249" s="30">
        <f t="shared" si="92"/>
        <v>945200</v>
      </c>
      <c r="V249" s="150">
        <f t="shared" si="92"/>
        <v>0</v>
      </c>
      <c r="W249" s="47">
        <f t="shared" si="92"/>
        <v>0</v>
      </c>
      <c r="X249" s="98">
        <f t="shared" si="92"/>
        <v>0</v>
      </c>
      <c r="Y249" s="64">
        <f t="shared" si="88"/>
        <v>2088800</v>
      </c>
      <c r="Z249" s="28">
        <f t="shared" si="85"/>
        <v>0</v>
      </c>
    </row>
    <row r="250" spans="1:26" ht="24" customHeight="1" hidden="1">
      <c r="A250" s="192" t="s">
        <v>387</v>
      </c>
      <c r="B250" s="193"/>
      <c r="C250" s="193"/>
      <c r="D250" s="193"/>
      <c r="E250" s="193"/>
      <c r="F250" s="38"/>
      <c r="G250" s="216" t="s">
        <v>189</v>
      </c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48">
        <f>R251</f>
        <v>0</v>
      </c>
      <c r="S250" s="54">
        <f t="shared" si="91"/>
        <v>0</v>
      </c>
      <c r="T250" s="31">
        <f t="shared" si="91"/>
        <v>0</v>
      </c>
      <c r="U250" s="31">
        <f t="shared" si="91"/>
        <v>0</v>
      </c>
      <c r="V250" s="54">
        <f t="shared" si="91"/>
        <v>0</v>
      </c>
      <c r="W250" s="48">
        <f t="shared" si="91"/>
        <v>0</v>
      </c>
      <c r="X250" s="99">
        <f t="shared" si="91"/>
        <v>0</v>
      </c>
      <c r="Y250" s="64">
        <f t="shared" si="88"/>
        <v>0</v>
      </c>
      <c r="Z250" s="28">
        <f t="shared" si="85"/>
        <v>0</v>
      </c>
    </row>
    <row r="251" spans="1:26" s="65" customFormat="1" ht="24" customHeight="1" hidden="1">
      <c r="A251" s="192" t="s">
        <v>388</v>
      </c>
      <c r="B251" s="193"/>
      <c r="C251" s="193"/>
      <c r="D251" s="193"/>
      <c r="E251" s="193"/>
      <c r="F251" s="38"/>
      <c r="G251" s="216" t="s">
        <v>190</v>
      </c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48">
        <f>R252</f>
        <v>0</v>
      </c>
      <c r="S251" s="54">
        <f t="shared" si="91"/>
        <v>0</v>
      </c>
      <c r="T251" s="31">
        <f t="shared" si="91"/>
        <v>0</v>
      </c>
      <c r="U251" s="31">
        <f t="shared" si="91"/>
        <v>0</v>
      </c>
      <c r="V251" s="54">
        <f t="shared" si="91"/>
        <v>0</v>
      </c>
      <c r="W251" s="48">
        <f t="shared" si="91"/>
        <v>0</v>
      </c>
      <c r="X251" s="99">
        <f t="shared" si="91"/>
        <v>0</v>
      </c>
      <c r="Y251" s="64">
        <f t="shared" si="88"/>
        <v>0</v>
      </c>
      <c r="Z251" s="28">
        <f t="shared" si="85"/>
        <v>0</v>
      </c>
    </row>
    <row r="252" spans="1:26" s="65" customFormat="1" ht="24" customHeight="1" hidden="1">
      <c r="A252" s="192" t="s">
        <v>389</v>
      </c>
      <c r="B252" s="193"/>
      <c r="C252" s="193"/>
      <c r="D252" s="193"/>
      <c r="E252" s="193"/>
      <c r="F252" s="38"/>
      <c r="G252" s="216" t="s">
        <v>390</v>
      </c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48">
        <f>R253</f>
        <v>0</v>
      </c>
      <c r="S252" s="151">
        <f t="shared" si="91"/>
        <v>0</v>
      </c>
      <c r="T252" s="31">
        <f t="shared" si="91"/>
        <v>0</v>
      </c>
      <c r="U252" s="31">
        <f t="shared" si="91"/>
        <v>0</v>
      </c>
      <c r="V252" s="54">
        <f t="shared" si="91"/>
        <v>0</v>
      </c>
      <c r="W252" s="48">
        <f t="shared" si="91"/>
        <v>0</v>
      </c>
      <c r="X252" s="99">
        <f t="shared" si="91"/>
        <v>0</v>
      </c>
      <c r="Y252" s="64">
        <f t="shared" si="88"/>
        <v>0</v>
      </c>
      <c r="Z252" s="28">
        <f t="shared" si="85"/>
        <v>0</v>
      </c>
    </row>
    <row r="253" spans="1:26" ht="24" customHeight="1" hidden="1">
      <c r="A253" s="192" t="s">
        <v>391</v>
      </c>
      <c r="B253" s="193"/>
      <c r="C253" s="193"/>
      <c r="D253" s="193"/>
      <c r="E253" s="193"/>
      <c r="F253" s="194"/>
      <c r="G253" s="233" t="s">
        <v>96</v>
      </c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49">
        <f>SUM(S253:V253)</f>
        <v>0</v>
      </c>
      <c r="S253" s="85">
        <f>100000+202200-302200</f>
        <v>0</v>
      </c>
      <c r="T253" s="86">
        <f>100000+600000-700000</f>
        <v>0</v>
      </c>
      <c r="U253" s="86">
        <f>100000-100000</f>
        <v>0</v>
      </c>
      <c r="V253" s="85">
        <f>100000-100000</f>
        <v>0</v>
      </c>
      <c r="W253" s="105">
        <v>0</v>
      </c>
      <c r="X253" s="102">
        <v>0</v>
      </c>
      <c r="Y253" s="64">
        <f t="shared" si="88"/>
        <v>0</v>
      </c>
      <c r="Z253" s="28">
        <f t="shared" si="85"/>
        <v>0</v>
      </c>
    </row>
    <row r="254" spans="1:26" ht="12.75" customHeight="1">
      <c r="A254" s="192" t="s">
        <v>448</v>
      </c>
      <c r="B254" s="193"/>
      <c r="C254" s="193"/>
      <c r="D254" s="193"/>
      <c r="E254" s="193"/>
      <c r="F254" s="194"/>
      <c r="G254" s="216" t="s">
        <v>238</v>
      </c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48">
        <f>R255</f>
        <v>2088800</v>
      </c>
      <c r="S254" s="54">
        <f>S255</f>
        <v>0</v>
      </c>
      <c r="T254" s="31">
        <f aca="true" t="shared" si="93" ref="T254:X255">T255</f>
        <v>1143600</v>
      </c>
      <c r="U254" s="31">
        <f t="shared" si="93"/>
        <v>945200</v>
      </c>
      <c r="V254" s="54">
        <f t="shared" si="93"/>
        <v>0</v>
      </c>
      <c r="W254" s="48">
        <f t="shared" si="93"/>
        <v>0</v>
      </c>
      <c r="X254" s="99">
        <f t="shared" si="93"/>
        <v>0</v>
      </c>
      <c r="Y254" s="28">
        <f t="shared" si="88"/>
        <v>2088800</v>
      </c>
      <c r="Z254" s="28">
        <f t="shared" si="85"/>
        <v>0</v>
      </c>
    </row>
    <row r="255" spans="1:26" ht="24.75" customHeight="1">
      <c r="A255" s="192" t="s">
        <v>449</v>
      </c>
      <c r="B255" s="193"/>
      <c r="C255" s="193"/>
      <c r="D255" s="193"/>
      <c r="E255" s="193"/>
      <c r="F255" s="194"/>
      <c r="G255" s="216" t="s">
        <v>450</v>
      </c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48">
        <f>R256</f>
        <v>2088800</v>
      </c>
      <c r="S255" s="54">
        <f>S256</f>
        <v>0</v>
      </c>
      <c r="T255" s="31">
        <f t="shared" si="93"/>
        <v>1143600</v>
      </c>
      <c r="U255" s="31">
        <f t="shared" si="93"/>
        <v>945200</v>
      </c>
      <c r="V255" s="54">
        <f t="shared" si="93"/>
        <v>0</v>
      </c>
      <c r="W255" s="48">
        <f t="shared" si="93"/>
        <v>0</v>
      </c>
      <c r="X255" s="99">
        <f t="shared" si="93"/>
        <v>0</v>
      </c>
      <c r="Y255" s="28">
        <f t="shared" si="88"/>
        <v>2088800</v>
      </c>
      <c r="Z255" s="28">
        <f t="shared" si="85"/>
        <v>0</v>
      </c>
    </row>
    <row r="256" spans="1:26" ht="24.75" customHeight="1" hidden="1">
      <c r="A256" s="192" t="s">
        <v>451</v>
      </c>
      <c r="B256" s="193"/>
      <c r="C256" s="193"/>
      <c r="D256" s="193"/>
      <c r="E256" s="193"/>
      <c r="F256" s="194"/>
      <c r="G256" s="233" t="s">
        <v>96</v>
      </c>
      <c r="H256" s="234"/>
      <c r="I256" s="234"/>
      <c r="J256" s="234"/>
      <c r="K256" s="234"/>
      <c r="L256" s="234"/>
      <c r="M256" s="234"/>
      <c r="N256" s="234"/>
      <c r="O256" s="234"/>
      <c r="P256" s="234"/>
      <c r="Q256" s="234"/>
      <c r="R256" s="49">
        <f>SUM(S256:V256)</f>
        <v>2088800</v>
      </c>
      <c r="S256" s="85">
        <v>0</v>
      </c>
      <c r="T256" s="86">
        <f>1143600+505552-505552</f>
        <v>1143600</v>
      </c>
      <c r="U256" s="86">
        <v>945200</v>
      </c>
      <c r="V256" s="85">
        <v>0</v>
      </c>
      <c r="W256" s="105">
        <v>0</v>
      </c>
      <c r="X256" s="102">
        <v>0</v>
      </c>
      <c r="Y256" s="28">
        <f>SUM(S256:X256)</f>
        <v>2088800</v>
      </c>
      <c r="Z256" s="28">
        <f t="shared" si="85"/>
        <v>0</v>
      </c>
    </row>
    <row r="257" spans="1:26" ht="14.25" customHeight="1">
      <c r="A257" s="186" t="s">
        <v>511</v>
      </c>
      <c r="B257" s="181"/>
      <c r="C257" s="181"/>
      <c r="D257" s="181"/>
      <c r="E257" s="181"/>
      <c r="F257" s="211"/>
      <c r="G257" s="281" t="s">
        <v>509</v>
      </c>
      <c r="H257" s="282"/>
      <c r="I257" s="282"/>
      <c r="J257" s="282"/>
      <c r="K257" s="282"/>
      <c r="L257" s="282"/>
      <c r="M257" s="282"/>
      <c r="N257" s="282"/>
      <c r="O257" s="282"/>
      <c r="P257" s="155"/>
      <c r="Q257" s="155"/>
      <c r="R257" s="46">
        <f aca="true" t="shared" si="94" ref="R257:X260">R258</f>
        <v>270822.61</v>
      </c>
      <c r="S257" s="156">
        <f t="shared" si="94"/>
        <v>0</v>
      </c>
      <c r="T257" s="156">
        <f t="shared" si="94"/>
        <v>0</v>
      </c>
      <c r="U257" s="156">
        <f t="shared" si="94"/>
        <v>120190</v>
      </c>
      <c r="V257" s="168">
        <f>V258</f>
        <v>150632.61</v>
      </c>
      <c r="W257" s="124">
        <f t="shared" si="94"/>
        <v>0</v>
      </c>
      <c r="X257" s="127">
        <f t="shared" si="94"/>
        <v>0</v>
      </c>
      <c r="Y257" s="28"/>
      <c r="Z257" s="28"/>
    </row>
    <row r="258" spans="1:26" ht="18" customHeight="1">
      <c r="A258" s="198" t="s">
        <v>507</v>
      </c>
      <c r="B258" s="199"/>
      <c r="C258" s="199"/>
      <c r="D258" s="199"/>
      <c r="E258" s="199"/>
      <c r="F258" s="200"/>
      <c r="G258" s="226" t="s">
        <v>510</v>
      </c>
      <c r="H258" s="227"/>
      <c r="I258" s="227"/>
      <c r="J258" s="227"/>
      <c r="K258" s="227"/>
      <c r="L258" s="227"/>
      <c r="M258" s="227"/>
      <c r="N258" s="227"/>
      <c r="O258" s="227"/>
      <c r="P258" s="154"/>
      <c r="Q258" s="154"/>
      <c r="R258" s="47">
        <f t="shared" si="94"/>
        <v>270822.61</v>
      </c>
      <c r="S258" s="157">
        <f t="shared" si="94"/>
        <v>0</v>
      </c>
      <c r="T258" s="157">
        <f t="shared" si="94"/>
        <v>0</v>
      </c>
      <c r="U258" s="157">
        <f t="shared" si="94"/>
        <v>120190</v>
      </c>
      <c r="V258" s="169">
        <f>V259</f>
        <v>150632.61</v>
      </c>
      <c r="W258" s="125">
        <f t="shared" si="94"/>
        <v>0</v>
      </c>
      <c r="X258" s="128">
        <f t="shared" si="94"/>
        <v>0</v>
      </c>
      <c r="Y258" s="28"/>
      <c r="Z258" s="28"/>
    </row>
    <row r="259" spans="1:26" ht="20.25" customHeight="1">
      <c r="A259" s="192" t="s">
        <v>513</v>
      </c>
      <c r="B259" s="193"/>
      <c r="C259" s="193"/>
      <c r="D259" s="193"/>
      <c r="E259" s="193"/>
      <c r="F259" s="194"/>
      <c r="G259" s="233" t="s">
        <v>238</v>
      </c>
      <c r="H259" s="234"/>
      <c r="I259" s="234"/>
      <c r="J259" s="234"/>
      <c r="K259" s="234"/>
      <c r="L259" s="234"/>
      <c r="M259" s="234"/>
      <c r="N259" s="234"/>
      <c r="O259" s="234"/>
      <c r="P259" s="153"/>
      <c r="Q259" s="153"/>
      <c r="R259" s="48">
        <f t="shared" si="94"/>
        <v>270822.61</v>
      </c>
      <c r="S259" s="88">
        <f t="shared" si="94"/>
        <v>0</v>
      </c>
      <c r="T259" s="88">
        <f t="shared" si="94"/>
        <v>0</v>
      </c>
      <c r="U259" s="88">
        <f t="shared" si="94"/>
        <v>120190</v>
      </c>
      <c r="V259" s="170">
        <f t="shared" si="94"/>
        <v>150632.61</v>
      </c>
      <c r="W259" s="113">
        <f t="shared" si="94"/>
        <v>0</v>
      </c>
      <c r="X259" s="112">
        <f t="shared" si="94"/>
        <v>0</v>
      </c>
      <c r="Y259" s="28"/>
      <c r="Z259" s="28"/>
    </row>
    <row r="260" spans="1:26" ht="24.75" customHeight="1">
      <c r="A260" s="192" t="s">
        <v>508</v>
      </c>
      <c r="B260" s="193"/>
      <c r="C260" s="193"/>
      <c r="D260" s="193"/>
      <c r="E260" s="193"/>
      <c r="F260" s="194"/>
      <c r="G260" s="233" t="s">
        <v>450</v>
      </c>
      <c r="H260" s="234"/>
      <c r="I260" s="234"/>
      <c r="J260" s="234"/>
      <c r="K260" s="234"/>
      <c r="L260" s="234"/>
      <c r="M260" s="234"/>
      <c r="N260" s="234"/>
      <c r="O260" s="234"/>
      <c r="P260" s="153"/>
      <c r="Q260" s="153"/>
      <c r="R260" s="48">
        <f t="shared" si="94"/>
        <v>270822.61</v>
      </c>
      <c r="S260" s="88">
        <f t="shared" si="94"/>
        <v>0</v>
      </c>
      <c r="T260" s="88">
        <f t="shared" si="94"/>
        <v>0</v>
      </c>
      <c r="U260" s="88">
        <f t="shared" si="94"/>
        <v>120190</v>
      </c>
      <c r="V260" s="170">
        <f t="shared" si="94"/>
        <v>150632.61</v>
      </c>
      <c r="W260" s="113">
        <f t="shared" si="94"/>
        <v>0</v>
      </c>
      <c r="X260" s="112">
        <f t="shared" si="94"/>
        <v>0</v>
      </c>
      <c r="Y260" s="28"/>
      <c r="Z260" s="28"/>
    </row>
    <row r="261" spans="1:26" ht="24" customHeight="1" hidden="1">
      <c r="A261" s="192" t="s">
        <v>512</v>
      </c>
      <c r="B261" s="193"/>
      <c r="C261" s="193"/>
      <c r="D261" s="193"/>
      <c r="E261" s="193"/>
      <c r="F261" s="194"/>
      <c r="G261" s="233" t="s">
        <v>96</v>
      </c>
      <c r="H261" s="234"/>
      <c r="I261" s="234"/>
      <c r="J261" s="234"/>
      <c r="K261" s="234"/>
      <c r="L261" s="234"/>
      <c r="M261" s="234"/>
      <c r="N261" s="234"/>
      <c r="O261" s="234"/>
      <c r="P261" s="153"/>
      <c r="Q261" s="153"/>
      <c r="R261" s="49">
        <f>S261+T261+U261+V261</f>
        <v>270822.61</v>
      </c>
      <c r="S261" s="86">
        <v>0</v>
      </c>
      <c r="T261" s="86">
        <v>0</v>
      </c>
      <c r="U261" s="86">
        <f>60190+60000</f>
        <v>120190</v>
      </c>
      <c r="V261" s="166">
        <f>234588-25233-42568.13-61840.6+45686.34</f>
        <v>150632.61</v>
      </c>
      <c r="W261" s="105">
        <v>0</v>
      </c>
      <c r="X261" s="102">
        <v>0</v>
      </c>
      <c r="Y261" s="28"/>
      <c r="Z261" s="28"/>
    </row>
    <row r="262" spans="1:26" s="4" customFormat="1" ht="14.25" customHeight="1">
      <c r="A262" s="201" t="s">
        <v>123</v>
      </c>
      <c r="B262" s="202"/>
      <c r="C262" s="202"/>
      <c r="D262" s="202"/>
      <c r="E262" s="202"/>
      <c r="F262" s="185"/>
      <c r="G262" s="182" t="s">
        <v>92</v>
      </c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34">
        <f>R263</f>
        <v>284444</v>
      </c>
      <c r="S262" s="53">
        <f aca="true" t="shared" si="95" ref="S262:X264">S263</f>
        <v>0</v>
      </c>
      <c r="T262" s="29">
        <f t="shared" si="95"/>
        <v>0</v>
      </c>
      <c r="U262" s="29">
        <f t="shared" si="95"/>
        <v>0</v>
      </c>
      <c r="V262" s="53">
        <f t="shared" si="95"/>
        <v>284444</v>
      </c>
      <c r="W262" s="34">
        <f t="shared" si="95"/>
        <v>0</v>
      </c>
      <c r="X262" s="96">
        <f t="shared" si="95"/>
        <v>0</v>
      </c>
      <c r="Y262" s="28">
        <f>SUM(S262:V262)</f>
        <v>284444</v>
      </c>
      <c r="Z262" s="28">
        <f>R262-S262-T262-U262-V262</f>
        <v>0</v>
      </c>
    </row>
    <row r="263" spans="1:26" s="3" customFormat="1" ht="14.25" customHeight="1">
      <c r="A263" s="186" t="s">
        <v>124</v>
      </c>
      <c r="B263" s="181"/>
      <c r="C263" s="181"/>
      <c r="D263" s="181"/>
      <c r="E263" s="181"/>
      <c r="F263" s="211"/>
      <c r="G263" s="184" t="s">
        <v>97</v>
      </c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46">
        <f>R264</f>
        <v>284444</v>
      </c>
      <c r="S263" s="75">
        <f t="shared" si="95"/>
        <v>0</v>
      </c>
      <c r="T263" s="44">
        <f t="shared" si="95"/>
        <v>0</v>
      </c>
      <c r="U263" s="44">
        <f t="shared" si="95"/>
        <v>0</v>
      </c>
      <c r="V263" s="75">
        <f t="shared" si="95"/>
        <v>284444</v>
      </c>
      <c r="W263" s="46">
        <f t="shared" si="95"/>
        <v>0</v>
      </c>
      <c r="X263" s="97">
        <f t="shared" si="95"/>
        <v>0</v>
      </c>
      <c r="Y263" s="28">
        <f>SUM(S263:V263)</f>
        <v>284444</v>
      </c>
      <c r="Z263" s="28">
        <f>R263-S263-T263-U263-V263</f>
        <v>0</v>
      </c>
    </row>
    <row r="264" spans="1:26" s="3" customFormat="1" ht="13.5" customHeight="1">
      <c r="A264" s="198" t="s">
        <v>125</v>
      </c>
      <c r="B264" s="199"/>
      <c r="C264" s="199"/>
      <c r="D264" s="199"/>
      <c r="E264" s="199"/>
      <c r="F264" s="200"/>
      <c r="G264" s="220" t="s">
        <v>93</v>
      </c>
      <c r="H264" s="221"/>
      <c r="I264" s="221"/>
      <c r="J264" s="221"/>
      <c r="K264" s="221"/>
      <c r="L264" s="221"/>
      <c r="M264" s="221"/>
      <c r="N264" s="221"/>
      <c r="O264" s="221"/>
      <c r="P264" s="221"/>
      <c r="Q264" s="221"/>
      <c r="R264" s="47">
        <f>R265</f>
        <v>284444</v>
      </c>
      <c r="S264" s="77">
        <f t="shared" si="95"/>
        <v>0</v>
      </c>
      <c r="T264" s="30">
        <f t="shared" si="95"/>
        <v>0</v>
      </c>
      <c r="U264" s="30">
        <f t="shared" si="95"/>
        <v>0</v>
      </c>
      <c r="V264" s="77">
        <f t="shared" si="95"/>
        <v>284444</v>
      </c>
      <c r="W264" s="47">
        <f t="shared" si="95"/>
        <v>0</v>
      </c>
      <c r="X264" s="98">
        <f t="shared" si="95"/>
        <v>0</v>
      </c>
      <c r="Y264" s="28">
        <f>SUM(S264:V264)</f>
        <v>284444</v>
      </c>
      <c r="Z264" s="28">
        <f>R264-S264-T264-U264-V264</f>
        <v>0</v>
      </c>
    </row>
    <row r="265" spans="1:26" ht="20.25" customHeight="1">
      <c r="A265" s="192" t="s">
        <v>525</v>
      </c>
      <c r="B265" s="193"/>
      <c r="C265" s="193"/>
      <c r="D265" s="193"/>
      <c r="E265" s="193"/>
      <c r="F265" s="194"/>
      <c r="G265" s="233" t="s">
        <v>238</v>
      </c>
      <c r="H265" s="234"/>
      <c r="I265" s="234"/>
      <c r="J265" s="234"/>
      <c r="K265" s="234"/>
      <c r="L265" s="234"/>
      <c r="M265" s="234"/>
      <c r="N265" s="234"/>
      <c r="O265" s="234"/>
      <c r="P265" s="153"/>
      <c r="Q265" s="153"/>
      <c r="R265" s="48">
        <f aca="true" t="shared" si="96" ref="R265:X266">R266</f>
        <v>284444</v>
      </c>
      <c r="S265" s="88">
        <f t="shared" si="96"/>
        <v>0</v>
      </c>
      <c r="T265" s="88">
        <f t="shared" si="96"/>
        <v>0</v>
      </c>
      <c r="U265" s="88">
        <f t="shared" si="96"/>
        <v>0</v>
      </c>
      <c r="V265" s="170">
        <f t="shared" si="96"/>
        <v>284444</v>
      </c>
      <c r="W265" s="113">
        <f t="shared" si="96"/>
        <v>0</v>
      </c>
      <c r="X265" s="112">
        <f t="shared" si="96"/>
        <v>0</v>
      </c>
      <c r="Y265" s="28"/>
      <c r="Z265" s="28"/>
    </row>
    <row r="266" spans="1:26" ht="24.75" customHeight="1">
      <c r="A266" s="192" t="s">
        <v>526</v>
      </c>
      <c r="B266" s="193"/>
      <c r="C266" s="193"/>
      <c r="D266" s="193"/>
      <c r="E266" s="193"/>
      <c r="F266" s="194"/>
      <c r="G266" s="233" t="s">
        <v>450</v>
      </c>
      <c r="H266" s="234"/>
      <c r="I266" s="234"/>
      <c r="J266" s="234"/>
      <c r="K266" s="234"/>
      <c r="L266" s="234"/>
      <c r="M266" s="234"/>
      <c r="N266" s="234"/>
      <c r="O266" s="234"/>
      <c r="P266" s="153"/>
      <c r="Q266" s="153"/>
      <c r="R266" s="48">
        <f t="shared" si="96"/>
        <v>284444</v>
      </c>
      <c r="S266" s="88">
        <f t="shared" si="96"/>
        <v>0</v>
      </c>
      <c r="T266" s="88">
        <f t="shared" si="96"/>
        <v>0</v>
      </c>
      <c r="U266" s="88">
        <f t="shared" si="96"/>
        <v>0</v>
      </c>
      <c r="V266" s="170">
        <f t="shared" si="96"/>
        <v>284444</v>
      </c>
      <c r="W266" s="113">
        <f t="shared" si="96"/>
        <v>0</v>
      </c>
      <c r="X266" s="112">
        <f t="shared" si="96"/>
        <v>0</v>
      </c>
      <c r="Y266" s="28"/>
      <c r="Z266" s="28"/>
    </row>
    <row r="267" spans="1:26" ht="12.75" hidden="1">
      <c r="A267" s="192" t="s">
        <v>527</v>
      </c>
      <c r="B267" s="193"/>
      <c r="C267" s="193"/>
      <c r="D267" s="193"/>
      <c r="E267" s="193"/>
      <c r="F267" s="194"/>
      <c r="G267" s="233" t="s">
        <v>46</v>
      </c>
      <c r="H267" s="234"/>
      <c r="I267" s="234"/>
      <c r="J267" s="234"/>
      <c r="K267" s="234"/>
      <c r="L267" s="234"/>
      <c r="M267" s="234"/>
      <c r="N267" s="234"/>
      <c r="O267" s="234"/>
      <c r="P267" s="153"/>
      <c r="Q267" s="153"/>
      <c r="R267" s="49">
        <f>S267+T267+U267+V267</f>
        <v>284444</v>
      </c>
      <c r="S267" s="86">
        <v>0</v>
      </c>
      <c r="T267" s="86">
        <v>0</v>
      </c>
      <c r="U267" s="86">
        <v>0</v>
      </c>
      <c r="V267" s="166">
        <f>1000+283444</f>
        <v>284444</v>
      </c>
      <c r="W267" s="105">
        <v>0</v>
      </c>
      <c r="X267" s="102">
        <v>0</v>
      </c>
      <c r="Y267" s="28"/>
      <c r="Z267" s="28"/>
    </row>
    <row r="268" spans="1:26" s="4" customFormat="1" ht="12.75" customHeight="1">
      <c r="A268" s="201" t="s">
        <v>126</v>
      </c>
      <c r="B268" s="202"/>
      <c r="C268" s="202"/>
      <c r="D268" s="202"/>
      <c r="E268" s="202"/>
      <c r="F268" s="185"/>
      <c r="G268" s="182" t="s">
        <v>50</v>
      </c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34">
        <f>R269+R277+R317</f>
        <v>2703905.88</v>
      </c>
      <c r="S268" s="148">
        <f aca="true" t="shared" si="97" ref="S268:X268">S269+S277+S317</f>
        <v>618126</v>
      </c>
      <c r="T268" s="29">
        <f t="shared" si="97"/>
        <v>681530.78</v>
      </c>
      <c r="U268" s="29">
        <f t="shared" si="97"/>
        <v>790806.87</v>
      </c>
      <c r="V268" s="53">
        <f t="shared" si="97"/>
        <v>613442.23</v>
      </c>
      <c r="W268" s="34">
        <f t="shared" si="97"/>
        <v>2012200</v>
      </c>
      <c r="X268" s="96">
        <f t="shared" si="97"/>
        <v>2060600</v>
      </c>
      <c r="Y268" s="64">
        <f t="shared" si="88"/>
        <v>2703905.88</v>
      </c>
      <c r="Z268" s="28">
        <f t="shared" si="85"/>
        <v>0</v>
      </c>
    </row>
    <row r="269" spans="1:26" s="3" customFormat="1" ht="12.75" customHeight="1">
      <c r="A269" s="186" t="s">
        <v>452</v>
      </c>
      <c r="B269" s="181"/>
      <c r="C269" s="181"/>
      <c r="D269" s="181"/>
      <c r="E269" s="181"/>
      <c r="F269" s="211"/>
      <c r="G269" s="184" t="s">
        <v>179</v>
      </c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46">
        <f>R270</f>
        <v>507133</v>
      </c>
      <c r="S269" s="149">
        <f aca="true" t="shared" si="98" ref="S269:X273">S270</f>
        <v>102201</v>
      </c>
      <c r="T269" s="44">
        <f t="shared" si="98"/>
        <v>99999</v>
      </c>
      <c r="U269" s="44">
        <f t="shared" si="98"/>
        <v>133101</v>
      </c>
      <c r="V269" s="75">
        <f t="shared" si="98"/>
        <v>171832</v>
      </c>
      <c r="W269" s="46">
        <f t="shared" si="98"/>
        <v>0</v>
      </c>
      <c r="X269" s="97">
        <f t="shared" si="98"/>
        <v>0</v>
      </c>
      <c r="Y269" s="64">
        <f t="shared" si="88"/>
        <v>507133</v>
      </c>
      <c r="Z269" s="28">
        <f t="shared" si="85"/>
        <v>0</v>
      </c>
    </row>
    <row r="270" spans="1:26" s="3" customFormat="1" ht="13.5" customHeight="1">
      <c r="A270" s="198" t="s">
        <v>453</v>
      </c>
      <c r="B270" s="199"/>
      <c r="C270" s="199"/>
      <c r="D270" s="199"/>
      <c r="E270" s="199"/>
      <c r="F270" s="200"/>
      <c r="G270" s="220" t="s">
        <v>386</v>
      </c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165">
        <f>R271</f>
        <v>507133</v>
      </c>
      <c r="S270" s="150">
        <f t="shared" si="98"/>
        <v>102201</v>
      </c>
      <c r="T270" s="30">
        <f t="shared" si="98"/>
        <v>99999</v>
      </c>
      <c r="U270" s="30">
        <f t="shared" si="98"/>
        <v>133101</v>
      </c>
      <c r="V270" s="77">
        <f t="shared" si="98"/>
        <v>171832</v>
      </c>
      <c r="W270" s="47">
        <f t="shared" si="98"/>
        <v>0</v>
      </c>
      <c r="X270" s="98">
        <f t="shared" si="98"/>
        <v>0</v>
      </c>
      <c r="Y270" s="64">
        <f t="shared" si="88"/>
        <v>507133</v>
      </c>
      <c r="Z270" s="28">
        <f t="shared" si="85"/>
        <v>0</v>
      </c>
    </row>
    <row r="271" spans="1:26" ht="24" customHeight="1">
      <c r="A271" s="192" t="s">
        <v>454</v>
      </c>
      <c r="B271" s="193"/>
      <c r="C271" s="193"/>
      <c r="D271" s="193"/>
      <c r="E271" s="193"/>
      <c r="F271" s="38"/>
      <c r="G271" s="216" t="s">
        <v>189</v>
      </c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48">
        <f>R272</f>
        <v>507133</v>
      </c>
      <c r="S271" s="151">
        <f t="shared" si="98"/>
        <v>102201</v>
      </c>
      <c r="T271" s="31">
        <f t="shared" si="98"/>
        <v>99999</v>
      </c>
      <c r="U271" s="31">
        <f t="shared" si="98"/>
        <v>133101</v>
      </c>
      <c r="V271" s="54">
        <f t="shared" si="98"/>
        <v>171832</v>
      </c>
      <c r="W271" s="48">
        <f t="shared" si="98"/>
        <v>0</v>
      </c>
      <c r="X271" s="99">
        <f t="shared" si="98"/>
        <v>0</v>
      </c>
      <c r="Y271" s="64">
        <f t="shared" si="88"/>
        <v>507133</v>
      </c>
      <c r="Z271" s="28">
        <f t="shared" si="85"/>
        <v>0</v>
      </c>
    </row>
    <row r="272" spans="1:26" s="65" customFormat="1" ht="24" customHeight="1">
      <c r="A272" s="192" t="s">
        <v>455</v>
      </c>
      <c r="B272" s="193"/>
      <c r="C272" s="193"/>
      <c r="D272" s="193"/>
      <c r="E272" s="193"/>
      <c r="F272" s="38"/>
      <c r="G272" s="216" t="s">
        <v>190</v>
      </c>
      <c r="H272" s="217"/>
      <c r="I272" s="217"/>
      <c r="J272" s="217"/>
      <c r="K272" s="217"/>
      <c r="L272" s="217"/>
      <c r="M272" s="217"/>
      <c r="N272" s="217"/>
      <c r="O272" s="217"/>
      <c r="P272" s="217"/>
      <c r="Q272" s="217"/>
      <c r="R272" s="48">
        <f>R273</f>
        <v>507133</v>
      </c>
      <c r="S272" s="151">
        <f t="shared" si="98"/>
        <v>102201</v>
      </c>
      <c r="T272" s="31">
        <f t="shared" si="98"/>
        <v>99999</v>
      </c>
      <c r="U272" s="31">
        <f t="shared" si="98"/>
        <v>133101</v>
      </c>
      <c r="V272" s="54">
        <f t="shared" si="98"/>
        <v>171832</v>
      </c>
      <c r="W272" s="48">
        <f t="shared" si="98"/>
        <v>0</v>
      </c>
      <c r="X272" s="99">
        <f t="shared" si="98"/>
        <v>0</v>
      </c>
      <c r="Y272" s="64">
        <f t="shared" si="88"/>
        <v>507133</v>
      </c>
      <c r="Z272" s="28">
        <f t="shared" si="85"/>
        <v>0</v>
      </c>
    </row>
    <row r="273" spans="1:26" s="65" customFormat="1" ht="24" customHeight="1">
      <c r="A273" s="192" t="s">
        <v>456</v>
      </c>
      <c r="B273" s="193"/>
      <c r="C273" s="193"/>
      <c r="D273" s="193"/>
      <c r="E273" s="193"/>
      <c r="F273" s="38"/>
      <c r="G273" s="216" t="s">
        <v>191</v>
      </c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48">
        <f>R274+R276+R275</f>
        <v>507133</v>
      </c>
      <c r="S273" s="151">
        <f>S274+S275+S276</f>
        <v>102201</v>
      </c>
      <c r="T273" s="31">
        <f>T274+T276+T275</f>
        <v>99999</v>
      </c>
      <c r="U273" s="31">
        <f>U274+U275+U276</f>
        <v>133101</v>
      </c>
      <c r="V273" s="54">
        <f t="shared" si="98"/>
        <v>171832</v>
      </c>
      <c r="W273" s="48">
        <f t="shared" si="98"/>
        <v>0</v>
      </c>
      <c r="X273" s="99">
        <f t="shared" si="98"/>
        <v>0</v>
      </c>
      <c r="Y273" s="64">
        <f t="shared" si="88"/>
        <v>507133</v>
      </c>
      <c r="Z273" s="28">
        <f t="shared" si="85"/>
        <v>0</v>
      </c>
    </row>
    <row r="274" spans="1:26" ht="12.75" hidden="1">
      <c r="A274" s="192" t="s">
        <v>457</v>
      </c>
      <c r="B274" s="193"/>
      <c r="C274" s="193"/>
      <c r="D274" s="193"/>
      <c r="E274" s="193"/>
      <c r="F274" s="194"/>
      <c r="G274" s="216" t="s">
        <v>41</v>
      </c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49">
        <f>SUM(S274:V274)</f>
        <v>274033</v>
      </c>
      <c r="S274" s="85">
        <f>202200-99999</f>
        <v>102201</v>
      </c>
      <c r="T274" s="86">
        <f>505552+304933-605551-204934</f>
        <v>0</v>
      </c>
      <c r="U274" s="86">
        <v>0</v>
      </c>
      <c r="V274" s="85">
        <f>71833+99999</f>
        <v>171832</v>
      </c>
      <c r="W274" s="105">
        <v>0</v>
      </c>
      <c r="X274" s="102">
        <v>0</v>
      </c>
      <c r="Y274" s="64">
        <f t="shared" si="88"/>
        <v>274033</v>
      </c>
      <c r="Z274" s="28">
        <f t="shared" si="85"/>
        <v>0</v>
      </c>
    </row>
    <row r="275" spans="1:26" ht="12.75" customHeight="1" hidden="1">
      <c r="A275" s="192" t="s">
        <v>494</v>
      </c>
      <c r="B275" s="193"/>
      <c r="C275" s="193"/>
      <c r="D275" s="193"/>
      <c r="E275" s="193"/>
      <c r="F275" s="194"/>
      <c r="G275" s="216" t="s">
        <v>42</v>
      </c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49">
        <f>SUM(S275:V275)</f>
        <v>0</v>
      </c>
      <c r="S275" s="85"/>
      <c r="T275" s="86">
        <f>99999-99999</f>
        <v>0</v>
      </c>
      <c r="U275" s="86">
        <v>0</v>
      </c>
      <c r="V275" s="85">
        <v>0</v>
      </c>
      <c r="W275" s="105">
        <v>0</v>
      </c>
      <c r="X275" s="102">
        <v>0</v>
      </c>
      <c r="Y275" s="64">
        <f>SUM(S275:V275)</f>
        <v>0</v>
      </c>
      <c r="Z275" s="28">
        <f t="shared" si="85"/>
        <v>0</v>
      </c>
    </row>
    <row r="276" spans="1:26" ht="12.75" hidden="1">
      <c r="A276" s="192" t="s">
        <v>486</v>
      </c>
      <c r="B276" s="193"/>
      <c r="C276" s="193"/>
      <c r="D276" s="193"/>
      <c r="E276" s="193"/>
      <c r="F276" s="194"/>
      <c r="G276" s="216" t="s">
        <v>43</v>
      </c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49">
        <f>SUM(S276:V276)</f>
        <v>233100</v>
      </c>
      <c r="S276" s="85"/>
      <c r="T276" s="86">
        <v>99999</v>
      </c>
      <c r="U276" s="86">
        <f>204934-71833</f>
        <v>133101</v>
      </c>
      <c r="V276" s="85">
        <v>0</v>
      </c>
      <c r="W276" s="105"/>
      <c r="X276" s="102"/>
      <c r="Y276" s="64"/>
      <c r="Z276" s="28"/>
    </row>
    <row r="277" spans="1:26" s="43" customFormat="1" ht="12.75">
      <c r="A277" s="186" t="s">
        <v>128</v>
      </c>
      <c r="B277" s="181"/>
      <c r="C277" s="181"/>
      <c r="D277" s="181"/>
      <c r="E277" s="181"/>
      <c r="F277" s="41"/>
      <c r="G277" s="184" t="s">
        <v>50</v>
      </c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46">
        <f>R278+R287+R293+R298+R306</f>
        <v>2120906.88</v>
      </c>
      <c r="S277" s="149">
        <f aca="true" t="shared" si="99" ref="S277:X277">S278+S287+S293+S298+S306</f>
        <v>515925</v>
      </c>
      <c r="T277" s="44">
        <f t="shared" si="99"/>
        <v>581531.78</v>
      </c>
      <c r="U277" s="44">
        <f t="shared" si="99"/>
        <v>596993.87</v>
      </c>
      <c r="V277" s="75">
        <f t="shared" si="99"/>
        <v>426456.23</v>
      </c>
      <c r="W277" s="46">
        <f t="shared" si="99"/>
        <v>2012200</v>
      </c>
      <c r="X277" s="97">
        <f t="shared" si="99"/>
        <v>2060600</v>
      </c>
      <c r="Y277" s="64">
        <f t="shared" si="88"/>
        <v>2120906.88</v>
      </c>
      <c r="Z277" s="28">
        <f aca="true" t="shared" si="100" ref="Z277:Z340">R277-S277-T277-U277-V277</f>
        <v>0</v>
      </c>
    </row>
    <row r="278" spans="1:26" s="3" customFormat="1" ht="12.75">
      <c r="A278" s="198" t="s">
        <v>127</v>
      </c>
      <c r="B278" s="199"/>
      <c r="C278" s="199"/>
      <c r="D278" s="199"/>
      <c r="E278" s="199"/>
      <c r="F278" s="200"/>
      <c r="G278" s="220" t="s">
        <v>51</v>
      </c>
      <c r="H278" s="221"/>
      <c r="I278" s="221"/>
      <c r="J278" s="221"/>
      <c r="K278" s="221"/>
      <c r="L278" s="221"/>
      <c r="M278" s="221"/>
      <c r="N278" s="221"/>
      <c r="O278" s="221"/>
      <c r="P278" s="221"/>
      <c r="Q278" s="221"/>
      <c r="R278" s="47">
        <f>R279</f>
        <v>1257725.3399999999</v>
      </c>
      <c r="S278" s="77">
        <f aca="true" t="shared" si="101" ref="S278:X280">S279</f>
        <v>400000</v>
      </c>
      <c r="T278" s="30">
        <f t="shared" si="101"/>
        <v>311385.58</v>
      </c>
      <c r="U278" s="30">
        <f t="shared" si="101"/>
        <v>223090.42</v>
      </c>
      <c r="V278" s="77">
        <f t="shared" si="101"/>
        <v>323249.33999999997</v>
      </c>
      <c r="W278" s="47">
        <f t="shared" si="101"/>
        <v>1379700</v>
      </c>
      <c r="X278" s="98">
        <f t="shared" si="101"/>
        <v>1412800</v>
      </c>
      <c r="Y278" s="64">
        <f t="shared" si="88"/>
        <v>1257725.34</v>
      </c>
      <c r="Z278" s="28">
        <f t="shared" si="100"/>
        <v>0</v>
      </c>
    </row>
    <row r="279" spans="1:26" ht="24" customHeight="1">
      <c r="A279" s="192" t="s">
        <v>325</v>
      </c>
      <c r="B279" s="193"/>
      <c r="C279" s="193"/>
      <c r="D279" s="193"/>
      <c r="E279" s="193"/>
      <c r="F279" s="38"/>
      <c r="G279" s="216" t="s">
        <v>189</v>
      </c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48">
        <f>R280</f>
        <v>1257725.3399999999</v>
      </c>
      <c r="S279" s="54">
        <f t="shared" si="101"/>
        <v>400000</v>
      </c>
      <c r="T279" s="31">
        <f t="shared" si="101"/>
        <v>311385.58</v>
      </c>
      <c r="U279" s="31">
        <f t="shared" si="101"/>
        <v>223090.42</v>
      </c>
      <c r="V279" s="54">
        <f t="shared" si="101"/>
        <v>323249.33999999997</v>
      </c>
      <c r="W279" s="48">
        <f t="shared" si="101"/>
        <v>1379700</v>
      </c>
      <c r="X279" s="99">
        <f t="shared" si="101"/>
        <v>1412800</v>
      </c>
      <c r="Y279" s="64">
        <f>SUM(S279:V279)</f>
        <v>1257725.34</v>
      </c>
      <c r="Z279" s="28">
        <f t="shared" si="100"/>
        <v>0</v>
      </c>
    </row>
    <row r="280" spans="1:26" s="65" customFormat="1" ht="24" customHeight="1">
      <c r="A280" s="192" t="s">
        <v>326</v>
      </c>
      <c r="B280" s="193"/>
      <c r="C280" s="193"/>
      <c r="D280" s="193"/>
      <c r="E280" s="193"/>
      <c r="F280" s="38"/>
      <c r="G280" s="216" t="s">
        <v>190</v>
      </c>
      <c r="H280" s="217"/>
      <c r="I280" s="217"/>
      <c r="J280" s="217"/>
      <c r="K280" s="217"/>
      <c r="L280" s="217"/>
      <c r="M280" s="217"/>
      <c r="N280" s="217"/>
      <c r="O280" s="217"/>
      <c r="P280" s="217"/>
      <c r="Q280" s="217"/>
      <c r="R280" s="48">
        <f>R281</f>
        <v>1257725.3399999999</v>
      </c>
      <c r="S280" s="54">
        <f t="shared" si="101"/>
        <v>400000</v>
      </c>
      <c r="T280" s="31">
        <f t="shared" si="101"/>
        <v>311385.58</v>
      </c>
      <c r="U280" s="31">
        <f t="shared" si="101"/>
        <v>223090.42</v>
      </c>
      <c r="V280" s="54">
        <f t="shared" si="101"/>
        <v>323249.33999999997</v>
      </c>
      <c r="W280" s="48">
        <f t="shared" si="101"/>
        <v>1379700</v>
      </c>
      <c r="X280" s="99">
        <f t="shared" si="101"/>
        <v>1412800</v>
      </c>
      <c r="Y280" s="64">
        <f>SUM(S280:V280)</f>
        <v>1257725.34</v>
      </c>
      <c r="Z280" s="28">
        <f t="shared" si="100"/>
        <v>0</v>
      </c>
    </row>
    <row r="281" spans="1:26" s="65" customFormat="1" ht="24" customHeight="1">
      <c r="A281" s="192" t="s">
        <v>327</v>
      </c>
      <c r="B281" s="193"/>
      <c r="C281" s="193"/>
      <c r="D281" s="193"/>
      <c r="E281" s="193"/>
      <c r="F281" s="38"/>
      <c r="G281" s="216" t="s">
        <v>191</v>
      </c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48">
        <f>SUM(R282:R286)</f>
        <v>1257725.3399999999</v>
      </c>
      <c r="S281" s="54">
        <f aca="true" t="shared" si="102" ref="S281:X281">SUM(S282:S286)</f>
        <v>400000</v>
      </c>
      <c r="T281" s="31">
        <f t="shared" si="102"/>
        <v>311385.58</v>
      </c>
      <c r="U281" s="31">
        <f t="shared" si="102"/>
        <v>223090.42</v>
      </c>
      <c r="V281" s="54">
        <f t="shared" si="102"/>
        <v>323249.33999999997</v>
      </c>
      <c r="W281" s="113">
        <f t="shared" si="102"/>
        <v>1379700</v>
      </c>
      <c r="X281" s="112">
        <f t="shared" si="102"/>
        <v>1412800</v>
      </c>
      <c r="Y281" s="64">
        <f>SUM(S281:V281)</f>
        <v>1257725.34</v>
      </c>
      <c r="Z281" s="28">
        <f t="shared" si="100"/>
        <v>0</v>
      </c>
    </row>
    <row r="282" spans="1:26" ht="12.75" hidden="1">
      <c r="A282" s="192" t="s">
        <v>328</v>
      </c>
      <c r="B282" s="193"/>
      <c r="C282" s="193"/>
      <c r="D282" s="193"/>
      <c r="E282" s="193"/>
      <c r="F282" s="194"/>
      <c r="G282" s="216" t="s">
        <v>39</v>
      </c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49">
        <f>SUM(S282:V282)</f>
        <v>0</v>
      </c>
      <c r="S282" s="85">
        <v>0</v>
      </c>
      <c r="T282" s="86">
        <v>0</v>
      </c>
      <c r="U282" s="86">
        <v>0</v>
      </c>
      <c r="V282" s="85">
        <v>0</v>
      </c>
      <c r="W282" s="105">
        <v>0</v>
      </c>
      <c r="X282" s="102">
        <v>0</v>
      </c>
      <c r="Y282" s="64">
        <f t="shared" si="88"/>
        <v>0</v>
      </c>
      <c r="Z282" s="28">
        <f t="shared" si="100"/>
        <v>0</v>
      </c>
    </row>
    <row r="283" spans="1:26" ht="12.75" hidden="1">
      <c r="A283" s="192" t="s">
        <v>329</v>
      </c>
      <c r="B283" s="193"/>
      <c r="C283" s="193"/>
      <c r="D283" s="193"/>
      <c r="E283" s="193"/>
      <c r="F283" s="194"/>
      <c r="G283" s="216" t="s">
        <v>40</v>
      </c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49">
        <f>SUM(S283:V283)</f>
        <v>668608.9299999999</v>
      </c>
      <c r="S283" s="85">
        <f>250000+12784.25</f>
        <v>262784.25</v>
      </c>
      <c r="T283" s="86">
        <f>160000</f>
        <v>160000</v>
      </c>
      <c r="U283" s="86">
        <f>80000-5524</f>
        <v>74476</v>
      </c>
      <c r="V283" s="85">
        <f>240400-61080-14535.45+6564.13</f>
        <v>171348.68</v>
      </c>
      <c r="W283" s="105">
        <v>759700</v>
      </c>
      <c r="X283" s="102">
        <v>772800</v>
      </c>
      <c r="Y283" s="64">
        <f t="shared" si="88"/>
        <v>668608.9299999999</v>
      </c>
      <c r="Z283" s="28">
        <f t="shared" si="100"/>
        <v>0</v>
      </c>
    </row>
    <row r="284" spans="1:26" ht="12.75" hidden="1">
      <c r="A284" s="192" t="s">
        <v>330</v>
      </c>
      <c r="B284" s="193"/>
      <c r="C284" s="193"/>
      <c r="D284" s="193"/>
      <c r="E284" s="193"/>
      <c r="F284" s="194"/>
      <c r="G284" s="216" t="s">
        <v>41</v>
      </c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49">
        <f>SUM(S284:V284)</f>
        <v>516280.79000000004</v>
      </c>
      <c r="S284" s="85">
        <f>150000-12784.25</f>
        <v>137215.75</v>
      </c>
      <c r="T284" s="86">
        <f>150000-71450.04</f>
        <v>78549.96</v>
      </c>
      <c r="U284" s="86">
        <f>150000-1385.58</f>
        <v>148614.42</v>
      </c>
      <c r="V284" s="85">
        <f>150000-6715.96+8616.62</f>
        <v>151900.66</v>
      </c>
      <c r="W284" s="105">
        <v>620000</v>
      </c>
      <c r="X284" s="102">
        <v>640000</v>
      </c>
      <c r="Y284" s="64">
        <f t="shared" si="88"/>
        <v>516280.79000000004</v>
      </c>
      <c r="Z284" s="28">
        <f t="shared" si="100"/>
        <v>0</v>
      </c>
    </row>
    <row r="285" spans="1:26" ht="12.75" hidden="1">
      <c r="A285" s="192" t="s">
        <v>331</v>
      </c>
      <c r="B285" s="193"/>
      <c r="C285" s="193"/>
      <c r="D285" s="193"/>
      <c r="E285" s="193"/>
      <c r="F285" s="194"/>
      <c r="G285" s="216" t="s">
        <v>42</v>
      </c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49">
        <f>SUM(S285:V285)</f>
        <v>0</v>
      </c>
      <c r="S285" s="85">
        <v>0</v>
      </c>
      <c r="T285" s="86">
        <v>0</v>
      </c>
      <c r="U285" s="86">
        <v>0</v>
      </c>
      <c r="V285" s="85">
        <v>0</v>
      </c>
      <c r="W285" s="105">
        <v>0</v>
      </c>
      <c r="X285" s="102">
        <v>0</v>
      </c>
      <c r="Y285" s="64">
        <f t="shared" si="88"/>
        <v>0</v>
      </c>
      <c r="Z285" s="28">
        <f t="shared" si="100"/>
        <v>0</v>
      </c>
    </row>
    <row r="286" spans="1:26" ht="12.75" hidden="1">
      <c r="A286" s="192" t="s">
        <v>332</v>
      </c>
      <c r="B286" s="193"/>
      <c r="C286" s="193"/>
      <c r="D286" s="193"/>
      <c r="E286" s="193"/>
      <c r="F286" s="194"/>
      <c r="G286" s="224" t="s">
        <v>70</v>
      </c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  <c r="R286" s="49">
        <f>SUM(S286:V286)</f>
        <v>72835.62</v>
      </c>
      <c r="S286" s="85">
        <v>0</v>
      </c>
      <c r="T286" s="86">
        <f>72835.62</f>
        <v>72835.62</v>
      </c>
      <c r="U286" s="86">
        <v>0</v>
      </c>
      <c r="V286" s="85">
        <v>0</v>
      </c>
      <c r="W286" s="105">
        <v>0</v>
      </c>
      <c r="X286" s="102">
        <v>0</v>
      </c>
      <c r="Y286" s="64">
        <f t="shared" si="88"/>
        <v>72835.62</v>
      </c>
      <c r="Z286" s="28">
        <f t="shared" si="100"/>
        <v>0</v>
      </c>
    </row>
    <row r="287" spans="1:26" s="3" customFormat="1" ht="36" customHeight="1" hidden="1">
      <c r="A287" s="198" t="s">
        <v>129</v>
      </c>
      <c r="B287" s="199"/>
      <c r="C287" s="199"/>
      <c r="D287" s="199"/>
      <c r="E287" s="199"/>
      <c r="F287" s="200"/>
      <c r="G287" s="312" t="s">
        <v>204</v>
      </c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47">
        <f>R288</f>
        <v>0</v>
      </c>
      <c r="S287" s="77">
        <f aca="true" t="shared" si="103" ref="S287:X287">S288</f>
        <v>0</v>
      </c>
      <c r="T287" s="30">
        <f t="shared" si="103"/>
        <v>0</v>
      </c>
      <c r="U287" s="30">
        <f>U288</f>
        <v>0</v>
      </c>
      <c r="V287" s="77">
        <f t="shared" si="103"/>
        <v>0</v>
      </c>
      <c r="W287" s="47">
        <f t="shared" si="103"/>
        <v>0</v>
      </c>
      <c r="X287" s="98">
        <f t="shared" si="103"/>
        <v>0</v>
      </c>
      <c r="Y287" s="64">
        <f t="shared" si="88"/>
        <v>0</v>
      </c>
      <c r="Z287" s="28">
        <f t="shared" si="100"/>
        <v>0</v>
      </c>
    </row>
    <row r="288" spans="1:26" ht="15.75" customHeight="1" hidden="1">
      <c r="A288" s="228" t="s">
        <v>130</v>
      </c>
      <c r="B288" s="229"/>
      <c r="C288" s="229"/>
      <c r="D288" s="229"/>
      <c r="E288" s="229"/>
      <c r="F288" s="230"/>
      <c r="G288" s="279" t="s">
        <v>32</v>
      </c>
      <c r="H288" s="280"/>
      <c r="I288" s="280"/>
      <c r="J288" s="280"/>
      <c r="K288" s="280"/>
      <c r="L288" s="280"/>
      <c r="M288" s="280"/>
      <c r="N288" s="280"/>
      <c r="O288" s="280"/>
      <c r="P288" s="280"/>
      <c r="Q288" s="280"/>
      <c r="R288" s="48">
        <f aca="true" t="shared" si="104" ref="R288:X288">SUM(R289:R292)</f>
        <v>0</v>
      </c>
      <c r="S288" s="54">
        <f>SUM(S289:S292)</f>
        <v>0</v>
      </c>
      <c r="T288" s="31">
        <f t="shared" si="104"/>
        <v>0</v>
      </c>
      <c r="U288" s="31">
        <f t="shared" si="104"/>
        <v>0</v>
      </c>
      <c r="V288" s="54">
        <f t="shared" si="104"/>
        <v>0</v>
      </c>
      <c r="W288" s="48">
        <f t="shared" si="104"/>
        <v>0</v>
      </c>
      <c r="X288" s="99">
        <f t="shared" si="104"/>
        <v>0</v>
      </c>
      <c r="Y288" s="64">
        <f t="shared" si="88"/>
        <v>0</v>
      </c>
      <c r="Z288" s="28">
        <f t="shared" si="100"/>
        <v>0</v>
      </c>
    </row>
    <row r="289" spans="1:26" ht="16.5" customHeight="1" hidden="1">
      <c r="A289" s="228" t="s">
        <v>131</v>
      </c>
      <c r="B289" s="229"/>
      <c r="C289" s="229"/>
      <c r="D289" s="229"/>
      <c r="E289" s="229"/>
      <c r="F289" s="230"/>
      <c r="G289" s="279" t="s">
        <v>39</v>
      </c>
      <c r="H289" s="280"/>
      <c r="I289" s="280"/>
      <c r="J289" s="280"/>
      <c r="K289" s="280"/>
      <c r="L289" s="280"/>
      <c r="M289" s="280"/>
      <c r="N289" s="280"/>
      <c r="O289" s="280"/>
      <c r="P289" s="280"/>
      <c r="Q289" s="280"/>
      <c r="R289" s="49">
        <f>SUM(S289:V289)</f>
        <v>0</v>
      </c>
      <c r="S289" s="82"/>
      <c r="T289" s="83"/>
      <c r="U289" s="83"/>
      <c r="V289" s="82"/>
      <c r="W289" s="84"/>
      <c r="X289" s="100"/>
      <c r="Y289" s="64">
        <f t="shared" si="88"/>
        <v>0</v>
      </c>
      <c r="Z289" s="28">
        <f t="shared" si="100"/>
        <v>0</v>
      </c>
    </row>
    <row r="290" spans="1:26" ht="16.5" customHeight="1" hidden="1">
      <c r="A290" s="228" t="s">
        <v>132</v>
      </c>
      <c r="B290" s="229"/>
      <c r="C290" s="229"/>
      <c r="D290" s="229"/>
      <c r="E290" s="229"/>
      <c r="F290" s="230"/>
      <c r="G290" s="279" t="s">
        <v>41</v>
      </c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49">
        <f>SUM(S290:V290)</f>
        <v>0</v>
      </c>
      <c r="S290" s="82"/>
      <c r="T290" s="83"/>
      <c r="U290" s="83"/>
      <c r="V290" s="82"/>
      <c r="W290" s="84"/>
      <c r="X290" s="100"/>
      <c r="Y290" s="64">
        <f t="shared" si="88"/>
        <v>0</v>
      </c>
      <c r="Z290" s="28">
        <f t="shared" si="100"/>
        <v>0</v>
      </c>
    </row>
    <row r="291" spans="1:26" ht="16.5" customHeight="1" hidden="1">
      <c r="A291" s="228" t="s">
        <v>162</v>
      </c>
      <c r="B291" s="229"/>
      <c r="C291" s="229"/>
      <c r="D291" s="229"/>
      <c r="E291" s="229"/>
      <c r="F291" s="230"/>
      <c r="G291" s="279" t="s">
        <v>42</v>
      </c>
      <c r="H291" s="280"/>
      <c r="I291" s="280"/>
      <c r="J291" s="280"/>
      <c r="K291" s="280"/>
      <c r="L291" s="280"/>
      <c r="M291" s="280"/>
      <c r="N291" s="280"/>
      <c r="O291" s="280"/>
      <c r="P291" s="280"/>
      <c r="Q291" s="280"/>
      <c r="R291" s="49">
        <f>SUM(S291:V291)</f>
        <v>0</v>
      </c>
      <c r="S291" s="82"/>
      <c r="T291" s="83"/>
      <c r="U291" s="83"/>
      <c r="V291" s="82"/>
      <c r="W291" s="84"/>
      <c r="X291" s="100"/>
      <c r="Y291" s="64">
        <f t="shared" si="88"/>
        <v>0</v>
      </c>
      <c r="Z291" s="28">
        <f t="shared" si="100"/>
        <v>0</v>
      </c>
    </row>
    <row r="292" spans="1:26" ht="16.5" customHeight="1" hidden="1">
      <c r="A292" s="228" t="s">
        <v>164</v>
      </c>
      <c r="B292" s="229"/>
      <c r="C292" s="229"/>
      <c r="D292" s="229"/>
      <c r="E292" s="229"/>
      <c r="F292" s="230"/>
      <c r="G292" s="279" t="s">
        <v>43</v>
      </c>
      <c r="H292" s="280"/>
      <c r="I292" s="280"/>
      <c r="J292" s="280"/>
      <c r="K292" s="280"/>
      <c r="L292" s="280"/>
      <c r="M292" s="280"/>
      <c r="N292" s="280"/>
      <c r="O292" s="280"/>
      <c r="P292" s="280"/>
      <c r="Q292" s="280"/>
      <c r="R292" s="49">
        <f>SUM(S292:V292)</f>
        <v>0</v>
      </c>
      <c r="S292" s="82"/>
      <c r="T292" s="83"/>
      <c r="U292" s="83"/>
      <c r="V292" s="82"/>
      <c r="W292" s="84"/>
      <c r="X292" s="100"/>
      <c r="Y292" s="64">
        <f t="shared" si="88"/>
        <v>0</v>
      </c>
      <c r="Z292" s="28">
        <f t="shared" si="100"/>
        <v>0</v>
      </c>
    </row>
    <row r="293" spans="1:26" s="3" customFormat="1" ht="12.75" hidden="1">
      <c r="A293" s="198" t="s">
        <v>133</v>
      </c>
      <c r="B293" s="199"/>
      <c r="C293" s="199"/>
      <c r="D293" s="199"/>
      <c r="E293" s="199"/>
      <c r="F293" s="200"/>
      <c r="G293" s="220" t="s">
        <v>52</v>
      </c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47">
        <f>R294</f>
        <v>0</v>
      </c>
      <c r="S293" s="77">
        <f aca="true" t="shared" si="105" ref="S293:X296">S294</f>
        <v>0</v>
      </c>
      <c r="T293" s="30">
        <f t="shared" si="105"/>
        <v>0</v>
      </c>
      <c r="U293" s="30">
        <f t="shared" si="105"/>
        <v>0</v>
      </c>
      <c r="V293" s="77">
        <f t="shared" si="105"/>
        <v>0</v>
      </c>
      <c r="W293" s="47">
        <f t="shared" si="105"/>
        <v>48300</v>
      </c>
      <c r="X293" s="98">
        <f t="shared" si="105"/>
        <v>49400</v>
      </c>
      <c r="Y293" s="64">
        <f t="shared" si="88"/>
        <v>0</v>
      </c>
      <c r="Z293" s="28">
        <f t="shared" si="100"/>
        <v>0</v>
      </c>
    </row>
    <row r="294" spans="1:26" ht="24" customHeight="1" hidden="1">
      <c r="A294" s="192" t="s">
        <v>333</v>
      </c>
      <c r="B294" s="193"/>
      <c r="C294" s="193"/>
      <c r="D294" s="193"/>
      <c r="E294" s="193"/>
      <c r="F294" s="38"/>
      <c r="G294" s="216" t="s">
        <v>189</v>
      </c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48">
        <f>R295</f>
        <v>0</v>
      </c>
      <c r="S294" s="54">
        <f t="shared" si="105"/>
        <v>0</v>
      </c>
      <c r="T294" s="31">
        <f t="shared" si="105"/>
        <v>0</v>
      </c>
      <c r="U294" s="31">
        <f t="shared" si="105"/>
        <v>0</v>
      </c>
      <c r="V294" s="54">
        <f t="shared" si="105"/>
        <v>0</v>
      </c>
      <c r="W294" s="48">
        <f t="shared" si="105"/>
        <v>48300</v>
      </c>
      <c r="X294" s="99">
        <f t="shared" si="105"/>
        <v>49400</v>
      </c>
      <c r="Y294" s="64">
        <f t="shared" si="88"/>
        <v>0</v>
      </c>
      <c r="Z294" s="28">
        <f t="shared" si="100"/>
        <v>0</v>
      </c>
    </row>
    <row r="295" spans="1:26" s="65" customFormat="1" ht="24" customHeight="1" hidden="1">
      <c r="A295" s="192" t="s">
        <v>334</v>
      </c>
      <c r="B295" s="193"/>
      <c r="C295" s="193"/>
      <c r="D295" s="193"/>
      <c r="E295" s="193"/>
      <c r="F295" s="38"/>
      <c r="G295" s="216" t="s">
        <v>190</v>
      </c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48">
        <f>R296</f>
        <v>0</v>
      </c>
      <c r="S295" s="54">
        <f t="shared" si="105"/>
        <v>0</v>
      </c>
      <c r="T295" s="31">
        <f t="shared" si="105"/>
        <v>0</v>
      </c>
      <c r="U295" s="31">
        <f t="shared" si="105"/>
        <v>0</v>
      </c>
      <c r="V295" s="54">
        <f t="shared" si="105"/>
        <v>0</v>
      </c>
      <c r="W295" s="48">
        <f t="shared" si="105"/>
        <v>48300</v>
      </c>
      <c r="X295" s="99">
        <f t="shared" si="105"/>
        <v>49400</v>
      </c>
      <c r="Y295" s="64">
        <f t="shared" si="88"/>
        <v>0</v>
      </c>
      <c r="Z295" s="28">
        <f t="shared" si="100"/>
        <v>0</v>
      </c>
    </row>
    <row r="296" spans="1:26" s="65" customFormat="1" ht="24" customHeight="1" hidden="1">
      <c r="A296" s="192" t="s">
        <v>335</v>
      </c>
      <c r="B296" s="193"/>
      <c r="C296" s="193"/>
      <c r="D296" s="193"/>
      <c r="E296" s="193"/>
      <c r="F296" s="38"/>
      <c r="G296" s="216" t="s">
        <v>191</v>
      </c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48">
        <f>R297</f>
        <v>0</v>
      </c>
      <c r="S296" s="54">
        <f t="shared" si="105"/>
        <v>0</v>
      </c>
      <c r="T296" s="31">
        <f t="shared" si="105"/>
        <v>0</v>
      </c>
      <c r="U296" s="31">
        <f t="shared" si="105"/>
        <v>0</v>
      </c>
      <c r="V296" s="54">
        <f t="shared" si="105"/>
        <v>0</v>
      </c>
      <c r="W296" s="48">
        <f t="shared" si="105"/>
        <v>48300</v>
      </c>
      <c r="X296" s="99">
        <f t="shared" si="105"/>
        <v>49400</v>
      </c>
      <c r="Y296" s="64">
        <f t="shared" si="88"/>
        <v>0</v>
      </c>
      <c r="Z296" s="28">
        <f t="shared" si="100"/>
        <v>0</v>
      </c>
    </row>
    <row r="297" spans="1:26" ht="12.75" hidden="1">
      <c r="A297" s="192" t="s">
        <v>336</v>
      </c>
      <c r="B297" s="193"/>
      <c r="C297" s="193"/>
      <c r="D297" s="193"/>
      <c r="E297" s="193"/>
      <c r="F297" s="194"/>
      <c r="G297" s="216" t="s">
        <v>41</v>
      </c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49">
        <f>SUM(S297:V297)</f>
        <v>0</v>
      </c>
      <c r="S297" s="78">
        <f>11625-11625</f>
        <v>0</v>
      </c>
      <c r="T297" s="32">
        <f>11625-11625</f>
        <v>0</v>
      </c>
      <c r="U297" s="32">
        <f>11625-11625</f>
        <v>0</v>
      </c>
      <c r="V297" s="78">
        <f>11625-3000-8625</f>
        <v>0</v>
      </c>
      <c r="W297" s="49">
        <v>48300</v>
      </c>
      <c r="X297" s="101">
        <v>49400</v>
      </c>
      <c r="Y297" s="64">
        <f t="shared" si="88"/>
        <v>0</v>
      </c>
      <c r="Z297" s="28">
        <f t="shared" si="100"/>
        <v>0</v>
      </c>
    </row>
    <row r="298" spans="1:26" s="3" customFormat="1" ht="12.75">
      <c r="A298" s="198" t="s">
        <v>134</v>
      </c>
      <c r="B298" s="199"/>
      <c r="C298" s="199"/>
      <c r="D298" s="199"/>
      <c r="E298" s="199"/>
      <c r="F298" s="200"/>
      <c r="G298" s="220" t="s">
        <v>53</v>
      </c>
      <c r="H298" s="221"/>
      <c r="I298" s="221"/>
      <c r="J298" s="221"/>
      <c r="K298" s="221"/>
      <c r="L298" s="221"/>
      <c r="M298" s="221"/>
      <c r="N298" s="221"/>
      <c r="O298" s="221"/>
      <c r="P298" s="221"/>
      <c r="Q298" s="221"/>
      <c r="R298" s="47">
        <f>R299</f>
        <v>81084.5</v>
      </c>
      <c r="S298" s="77">
        <f aca="true" t="shared" si="106" ref="S298:X300">S299</f>
        <v>21925</v>
      </c>
      <c r="T298" s="30">
        <f t="shared" si="106"/>
        <v>49541.2</v>
      </c>
      <c r="U298" s="30">
        <f t="shared" si="106"/>
        <v>5010.299999999999</v>
      </c>
      <c r="V298" s="77">
        <f t="shared" si="106"/>
        <v>4608</v>
      </c>
      <c r="W298" s="47">
        <f t="shared" si="106"/>
        <v>108500</v>
      </c>
      <c r="X298" s="98">
        <f t="shared" si="106"/>
        <v>111200</v>
      </c>
      <c r="Y298" s="64">
        <f t="shared" si="88"/>
        <v>81084.5</v>
      </c>
      <c r="Z298" s="28">
        <f t="shared" si="100"/>
        <v>0</v>
      </c>
    </row>
    <row r="299" spans="1:26" ht="24" customHeight="1">
      <c r="A299" s="192" t="s">
        <v>337</v>
      </c>
      <c r="B299" s="193"/>
      <c r="C299" s="193"/>
      <c r="D299" s="193"/>
      <c r="E299" s="193"/>
      <c r="F299" s="38"/>
      <c r="G299" s="216" t="s">
        <v>189</v>
      </c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48">
        <f>R300</f>
        <v>81084.5</v>
      </c>
      <c r="S299" s="54">
        <f t="shared" si="106"/>
        <v>21925</v>
      </c>
      <c r="T299" s="31">
        <f t="shared" si="106"/>
        <v>49541.2</v>
      </c>
      <c r="U299" s="31">
        <f t="shared" si="106"/>
        <v>5010.299999999999</v>
      </c>
      <c r="V299" s="54">
        <f t="shared" si="106"/>
        <v>4608</v>
      </c>
      <c r="W299" s="48">
        <f t="shared" si="106"/>
        <v>108500</v>
      </c>
      <c r="X299" s="99">
        <f t="shared" si="106"/>
        <v>111200</v>
      </c>
      <c r="Y299" s="64">
        <f>SUM(S299:V299)</f>
        <v>81084.5</v>
      </c>
      <c r="Z299" s="28">
        <f t="shared" si="100"/>
        <v>0</v>
      </c>
    </row>
    <row r="300" spans="1:26" s="65" customFormat="1" ht="24" customHeight="1">
      <c r="A300" s="192" t="s">
        <v>338</v>
      </c>
      <c r="B300" s="193"/>
      <c r="C300" s="193"/>
      <c r="D300" s="193"/>
      <c r="E300" s="193"/>
      <c r="F300" s="38"/>
      <c r="G300" s="216" t="s">
        <v>190</v>
      </c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48">
        <f>R301</f>
        <v>81084.5</v>
      </c>
      <c r="S300" s="54">
        <f t="shared" si="106"/>
        <v>21925</v>
      </c>
      <c r="T300" s="31">
        <f t="shared" si="106"/>
        <v>49541.2</v>
      </c>
      <c r="U300" s="31">
        <f t="shared" si="106"/>
        <v>5010.299999999999</v>
      </c>
      <c r="V300" s="54">
        <f t="shared" si="106"/>
        <v>4608</v>
      </c>
      <c r="W300" s="48">
        <f t="shared" si="106"/>
        <v>108500</v>
      </c>
      <c r="X300" s="99">
        <f t="shared" si="106"/>
        <v>111200</v>
      </c>
      <c r="Y300" s="64">
        <f>SUM(S300:V300)</f>
        <v>81084.5</v>
      </c>
      <c r="Z300" s="28">
        <f t="shared" si="100"/>
        <v>0</v>
      </c>
    </row>
    <row r="301" spans="1:26" s="65" customFormat="1" ht="24" customHeight="1">
      <c r="A301" s="192" t="s">
        <v>339</v>
      </c>
      <c r="B301" s="193"/>
      <c r="C301" s="193"/>
      <c r="D301" s="193"/>
      <c r="E301" s="193"/>
      <c r="F301" s="38"/>
      <c r="G301" s="216" t="s">
        <v>191</v>
      </c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48">
        <f>SUM(R302:R305)</f>
        <v>81084.5</v>
      </c>
      <c r="S301" s="54">
        <f aca="true" t="shared" si="107" ref="S301:X301">SUM(S302:S305)</f>
        <v>21925</v>
      </c>
      <c r="T301" s="31">
        <f t="shared" si="107"/>
        <v>49541.2</v>
      </c>
      <c r="U301" s="31">
        <f t="shared" si="107"/>
        <v>5010.299999999999</v>
      </c>
      <c r="V301" s="54">
        <f t="shared" si="107"/>
        <v>4608</v>
      </c>
      <c r="W301" s="48">
        <f t="shared" si="107"/>
        <v>108500</v>
      </c>
      <c r="X301" s="99">
        <f t="shared" si="107"/>
        <v>111200</v>
      </c>
      <c r="Y301" s="64">
        <f>SUM(S301:V301)</f>
        <v>81084.5</v>
      </c>
      <c r="Z301" s="28">
        <f t="shared" si="100"/>
        <v>0</v>
      </c>
    </row>
    <row r="302" spans="1:26" ht="12.75" hidden="1">
      <c r="A302" s="192" t="s">
        <v>340</v>
      </c>
      <c r="B302" s="193"/>
      <c r="C302" s="193"/>
      <c r="D302" s="193"/>
      <c r="E302" s="193"/>
      <c r="F302" s="194"/>
      <c r="G302" s="216" t="s">
        <v>39</v>
      </c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49">
        <f>SUM(S302:V302)</f>
        <v>0</v>
      </c>
      <c r="S302" s="85">
        <f>1250-1250</f>
        <v>0</v>
      </c>
      <c r="T302" s="86">
        <f>1250-1250</f>
        <v>0</v>
      </c>
      <c r="U302" s="86">
        <f>1250-1250</f>
        <v>0</v>
      </c>
      <c r="V302" s="85">
        <f>1250-1250</f>
        <v>0</v>
      </c>
      <c r="W302" s="105">
        <v>5000</v>
      </c>
      <c r="X302" s="102">
        <v>5000</v>
      </c>
      <c r="Y302" s="64">
        <f t="shared" si="88"/>
        <v>0</v>
      </c>
      <c r="Z302" s="28">
        <f t="shared" si="100"/>
        <v>0</v>
      </c>
    </row>
    <row r="303" spans="1:26" ht="12.75" hidden="1">
      <c r="A303" s="192" t="s">
        <v>341</v>
      </c>
      <c r="B303" s="193"/>
      <c r="C303" s="193"/>
      <c r="D303" s="193"/>
      <c r="E303" s="193"/>
      <c r="F303" s="194"/>
      <c r="G303" s="216" t="s">
        <v>41</v>
      </c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49">
        <f>SUM(S303:V303)</f>
        <v>54766.8</v>
      </c>
      <c r="S303" s="85">
        <f>20425</f>
        <v>20425</v>
      </c>
      <c r="T303" s="86">
        <f>27425</f>
        <v>27425</v>
      </c>
      <c r="U303" s="86">
        <f>20425-8000-10116.2</f>
        <v>2308.7999999999993</v>
      </c>
      <c r="V303" s="85">
        <f>20425-575-12425-2817</f>
        <v>4608</v>
      </c>
      <c r="W303" s="105">
        <v>87500</v>
      </c>
      <c r="X303" s="102">
        <v>90200</v>
      </c>
      <c r="Y303" s="64">
        <f t="shared" si="88"/>
        <v>54766.8</v>
      </c>
      <c r="Z303" s="28">
        <f t="shared" si="100"/>
        <v>0</v>
      </c>
    </row>
    <row r="304" spans="1:26" ht="12.75" hidden="1">
      <c r="A304" s="192" t="s">
        <v>342</v>
      </c>
      <c r="B304" s="193"/>
      <c r="C304" s="193"/>
      <c r="D304" s="193"/>
      <c r="E304" s="193"/>
      <c r="F304" s="194"/>
      <c r="G304" s="216" t="s">
        <v>42</v>
      </c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49">
        <f>SUM(S304:V304)</f>
        <v>23116.2</v>
      </c>
      <c r="S304" s="85">
        <v>0</v>
      </c>
      <c r="T304" s="86">
        <f>2500+18116.2</f>
        <v>20616.2</v>
      </c>
      <c r="U304" s="86">
        <f>2500</f>
        <v>2500</v>
      </c>
      <c r="V304" s="85">
        <v>0</v>
      </c>
      <c r="W304" s="105">
        <v>10000</v>
      </c>
      <c r="X304" s="102">
        <v>10000</v>
      </c>
      <c r="Y304" s="64">
        <f t="shared" si="88"/>
        <v>23116.2</v>
      </c>
      <c r="Z304" s="28">
        <f t="shared" si="100"/>
        <v>0</v>
      </c>
    </row>
    <row r="305" spans="1:26" ht="12.75" hidden="1">
      <c r="A305" s="192" t="s">
        <v>343</v>
      </c>
      <c r="B305" s="193"/>
      <c r="C305" s="193"/>
      <c r="D305" s="193"/>
      <c r="E305" s="193"/>
      <c r="F305" s="194"/>
      <c r="G305" s="224" t="s">
        <v>70</v>
      </c>
      <c r="H305" s="225"/>
      <c r="I305" s="225"/>
      <c r="J305" s="225"/>
      <c r="K305" s="225"/>
      <c r="L305" s="225"/>
      <c r="M305" s="225"/>
      <c r="N305" s="225"/>
      <c r="O305" s="225"/>
      <c r="P305" s="225"/>
      <c r="Q305" s="225"/>
      <c r="R305" s="49">
        <f>SUM(S305:V305)</f>
        <v>3201.5</v>
      </c>
      <c r="S305" s="85">
        <f>1500</f>
        <v>1500</v>
      </c>
      <c r="T305" s="86">
        <f>1500</f>
        <v>1500</v>
      </c>
      <c r="U305" s="86">
        <f>1500-1298.5</f>
        <v>201.5</v>
      </c>
      <c r="V305" s="85">
        <f>1500-1500</f>
        <v>0</v>
      </c>
      <c r="W305" s="105">
        <v>6000</v>
      </c>
      <c r="X305" s="102">
        <v>6000</v>
      </c>
      <c r="Y305" s="64">
        <f t="shared" si="88"/>
        <v>3201.5</v>
      </c>
      <c r="Z305" s="28">
        <f t="shared" si="100"/>
        <v>0</v>
      </c>
    </row>
    <row r="306" spans="1:26" s="3" customFormat="1" ht="15.75" customHeight="1">
      <c r="A306" s="198" t="s">
        <v>135</v>
      </c>
      <c r="B306" s="199"/>
      <c r="C306" s="199"/>
      <c r="D306" s="199"/>
      <c r="E306" s="199"/>
      <c r="F306" s="200"/>
      <c r="G306" s="220" t="s">
        <v>54</v>
      </c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47">
        <f>R307</f>
        <v>782097.04</v>
      </c>
      <c r="S306" s="158">
        <f aca="true" t="shared" si="108" ref="S306:X308">S307</f>
        <v>94000</v>
      </c>
      <c r="T306" s="30">
        <f t="shared" si="108"/>
        <v>220605</v>
      </c>
      <c r="U306" s="30">
        <f t="shared" si="108"/>
        <v>368893.14999999997</v>
      </c>
      <c r="V306" s="77">
        <f t="shared" si="108"/>
        <v>98598.89</v>
      </c>
      <c r="W306" s="47">
        <f t="shared" si="108"/>
        <v>475700</v>
      </c>
      <c r="X306" s="98">
        <f t="shared" si="108"/>
        <v>487200</v>
      </c>
      <c r="Y306" s="64">
        <f t="shared" si="88"/>
        <v>782097.0399999999</v>
      </c>
      <c r="Z306" s="28">
        <f t="shared" si="100"/>
        <v>0</v>
      </c>
    </row>
    <row r="307" spans="1:26" ht="24" customHeight="1">
      <c r="A307" s="192" t="s">
        <v>344</v>
      </c>
      <c r="B307" s="193"/>
      <c r="C307" s="193"/>
      <c r="D307" s="193"/>
      <c r="E307" s="193"/>
      <c r="F307" s="38"/>
      <c r="G307" s="216" t="s">
        <v>189</v>
      </c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48">
        <f>R308</f>
        <v>782097.04</v>
      </c>
      <c r="S307" s="54">
        <f t="shared" si="108"/>
        <v>94000</v>
      </c>
      <c r="T307" s="31">
        <f t="shared" si="108"/>
        <v>220605</v>
      </c>
      <c r="U307" s="31">
        <f t="shared" si="108"/>
        <v>368893.14999999997</v>
      </c>
      <c r="V307" s="54">
        <f t="shared" si="108"/>
        <v>98598.89</v>
      </c>
      <c r="W307" s="48">
        <f t="shared" si="108"/>
        <v>475700</v>
      </c>
      <c r="X307" s="99">
        <f t="shared" si="108"/>
        <v>487200</v>
      </c>
      <c r="Y307" s="64">
        <f t="shared" si="88"/>
        <v>782097.0399999999</v>
      </c>
      <c r="Z307" s="28">
        <f t="shared" si="100"/>
        <v>0</v>
      </c>
    </row>
    <row r="308" spans="1:26" s="65" customFormat="1" ht="24" customHeight="1">
      <c r="A308" s="192" t="s">
        <v>345</v>
      </c>
      <c r="B308" s="193"/>
      <c r="C308" s="193"/>
      <c r="D308" s="193"/>
      <c r="E308" s="193"/>
      <c r="F308" s="38"/>
      <c r="G308" s="216" t="s">
        <v>190</v>
      </c>
      <c r="H308" s="217"/>
      <c r="I308" s="217"/>
      <c r="J308" s="217"/>
      <c r="K308" s="217"/>
      <c r="L308" s="217"/>
      <c r="M308" s="217"/>
      <c r="N308" s="217"/>
      <c r="O308" s="217"/>
      <c r="P308" s="217"/>
      <c r="Q308" s="217"/>
      <c r="R308" s="48">
        <f>R309</f>
        <v>782097.04</v>
      </c>
      <c r="S308" s="54">
        <f t="shared" si="108"/>
        <v>94000</v>
      </c>
      <c r="T308" s="31">
        <f t="shared" si="108"/>
        <v>220605</v>
      </c>
      <c r="U308" s="31">
        <f t="shared" si="108"/>
        <v>368893.14999999997</v>
      </c>
      <c r="V308" s="54">
        <f t="shared" si="108"/>
        <v>98598.89</v>
      </c>
      <c r="W308" s="48">
        <f t="shared" si="108"/>
        <v>475700</v>
      </c>
      <c r="X308" s="99">
        <f t="shared" si="108"/>
        <v>487200</v>
      </c>
      <c r="Y308" s="64">
        <f t="shared" si="88"/>
        <v>782097.0399999999</v>
      </c>
      <c r="Z308" s="28">
        <f t="shared" si="100"/>
        <v>0</v>
      </c>
    </row>
    <row r="309" spans="1:26" s="65" customFormat="1" ht="24" customHeight="1">
      <c r="A309" s="192" t="s">
        <v>346</v>
      </c>
      <c r="B309" s="193"/>
      <c r="C309" s="193"/>
      <c r="D309" s="193"/>
      <c r="E309" s="193"/>
      <c r="F309" s="38"/>
      <c r="G309" s="216" t="s">
        <v>191</v>
      </c>
      <c r="H309" s="217"/>
      <c r="I309" s="217"/>
      <c r="J309" s="217"/>
      <c r="K309" s="217"/>
      <c r="L309" s="217"/>
      <c r="M309" s="217"/>
      <c r="N309" s="217"/>
      <c r="O309" s="217"/>
      <c r="P309" s="217"/>
      <c r="Q309" s="217"/>
      <c r="R309" s="48">
        <f>SUM(R310:R316)</f>
        <v>782097.04</v>
      </c>
      <c r="S309" s="54">
        <f aca="true" t="shared" si="109" ref="S309:X309">SUM(S310:S316)</f>
        <v>94000</v>
      </c>
      <c r="T309" s="31">
        <f t="shared" si="109"/>
        <v>220605</v>
      </c>
      <c r="U309" s="31">
        <f t="shared" si="109"/>
        <v>368893.14999999997</v>
      </c>
      <c r="V309" s="54">
        <f t="shared" si="109"/>
        <v>98598.89</v>
      </c>
      <c r="W309" s="48">
        <f t="shared" si="109"/>
        <v>475700</v>
      </c>
      <c r="X309" s="99">
        <f t="shared" si="109"/>
        <v>487200</v>
      </c>
      <c r="Y309" s="64">
        <f t="shared" si="88"/>
        <v>782097.0399999999</v>
      </c>
      <c r="Z309" s="28">
        <f t="shared" si="100"/>
        <v>0</v>
      </c>
    </row>
    <row r="310" spans="1:26" ht="12.75" hidden="1">
      <c r="A310" s="192" t="s">
        <v>347</v>
      </c>
      <c r="B310" s="193"/>
      <c r="C310" s="193"/>
      <c r="D310" s="193"/>
      <c r="E310" s="193"/>
      <c r="F310" s="194"/>
      <c r="G310" s="216" t="s">
        <v>39</v>
      </c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49">
        <f aca="true" t="shared" si="110" ref="R310:R316">SUM(S310:V310)</f>
        <v>96987.63</v>
      </c>
      <c r="S310" s="85">
        <f>11500</f>
        <v>11500</v>
      </c>
      <c r="T310" s="86">
        <f>11500+49000</f>
        <v>60500</v>
      </c>
      <c r="U310" s="86">
        <f>11500</f>
        <v>11500</v>
      </c>
      <c r="V310" s="85">
        <f>11500-5078.25+1276.45+5789.43</f>
        <v>13487.630000000001</v>
      </c>
      <c r="W310" s="105">
        <v>46000</v>
      </c>
      <c r="X310" s="102">
        <v>46000</v>
      </c>
      <c r="Y310" s="64">
        <f t="shared" si="88"/>
        <v>96987.63</v>
      </c>
      <c r="Z310" s="28">
        <f t="shared" si="100"/>
        <v>0</v>
      </c>
    </row>
    <row r="311" spans="1:26" ht="12.75" hidden="1">
      <c r="A311" s="192" t="s">
        <v>348</v>
      </c>
      <c r="B311" s="193"/>
      <c r="C311" s="193"/>
      <c r="D311" s="193"/>
      <c r="E311" s="193"/>
      <c r="F311" s="194"/>
      <c r="G311" s="216" t="s">
        <v>40</v>
      </c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49">
        <f t="shared" si="110"/>
        <v>3702.23</v>
      </c>
      <c r="S311" s="85">
        <v>0</v>
      </c>
      <c r="T311" s="86">
        <v>0</v>
      </c>
      <c r="U311" s="86">
        <f>6000-2297.77</f>
        <v>3702.23</v>
      </c>
      <c r="V311" s="85">
        <v>0</v>
      </c>
      <c r="W311" s="105">
        <v>0</v>
      </c>
      <c r="X311" s="102">
        <v>0</v>
      </c>
      <c r="Y311" s="64">
        <f t="shared" si="88"/>
        <v>3702.23</v>
      </c>
      <c r="Z311" s="28">
        <f t="shared" si="100"/>
        <v>0</v>
      </c>
    </row>
    <row r="312" spans="1:26" ht="12.75" hidden="1">
      <c r="A312" s="192" t="s">
        <v>349</v>
      </c>
      <c r="B312" s="193"/>
      <c r="C312" s="193"/>
      <c r="D312" s="193"/>
      <c r="E312" s="193"/>
      <c r="F312" s="194"/>
      <c r="G312" s="216" t="s">
        <v>41</v>
      </c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49">
        <f t="shared" si="110"/>
        <v>268195.24</v>
      </c>
      <c r="S312" s="85">
        <f>61500</f>
        <v>61500</v>
      </c>
      <c r="T312" s="86">
        <f>61500+100000-40560-47000</f>
        <v>73940</v>
      </c>
      <c r="U312" s="86">
        <f>61500-29200+66510+40000-6510</f>
        <v>132300</v>
      </c>
      <c r="V312" s="85">
        <f>6810.23-6354.99</f>
        <v>455.2399999999998</v>
      </c>
      <c r="W312" s="105">
        <v>253900</v>
      </c>
      <c r="X312" s="102">
        <v>265400</v>
      </c>
      <c r="Y312" s="64">
        <f t="shared" si="88"/>
        <v>268195.24</v>
      </c>
      <c r="Z312" s="28">
        <f t="shared" si="100"/>
        <v>-9.094947017729282E-12</v>
      </c>
    </row>
    <row r="313" spans="1:26" ht="12.75" hidden="1">
      <c r="A313" s="192" t="s">
        <v>350</v>
      </c>
      <c r="B313" s="193"/>
      <c r="C313" s="193"/>
      <c r="D313" s="193"/>
      <c r="E313" s="193"/>
      <c r="F313" s="194"/>
      <c r="G313" s="216" t="s">
        <v>42</v>
      </c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49">
        <f t="shared" si="110"/>
        <v>218772.43</v>
      </c>
      <c r="S313" s="85">
        <f>17750</f>
        <v>17750</v>
      </c>
      <c r="T313" s="86">
        <f>17750+47000</f>
        <v>64750</v>
      </c>
      <c r="U313" s="86">
        <f>17750+22000+11240+52999</f>
        <v>103989</v>
      </c>
      <c r="V313" s="85">
        <f>17750-6510-11240+2100+22535.88-7300.23+6237.21+14500-5789.43</f>
        <v>32283.43</v>
      </c>
      <c r="W313" s="105">
        <v>80000</v>
      </c>
      <c r="X313" s="102">
        <v>80000</v>
      </c>
      <c r="Y313" s="64">
        <f t="shared" si="88"/>
        <v>218772.43</v>
      </c>
      <c r="Z313" s="28">
        <f t="shared" si="100"/>
        <v>0</v>
      </c>
    </row>
    <row r="314" spans="1:26" ht="24" customHeight="1" hidden="1">
      <c r="A314" s="192" t="s">
        <v>514</v>
      </c>
      <c r="B314" s="193"/>
      <c r="C314" s="193"/>
      <c r="D314" s="193"/>
      <c r="E314" s="193"/>
      <c r="F314" s="194"/>
      <c r="G314" s="216" t="s">
        <v>205</v>
      </c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49">
        <f t="shared" si="110"/>
        <v>0</v>
      </c>
      <c r="S314" s="85">
        <v>0</v>
      </c>
      <c r="T314" s="86">
        <v>0</v>
      </c>
      <c r="U314" s="86">
        <f>6510-6510</f>
        <v>0</v>
      </c>
      <c r="V314" s="85">
        <v>0</v>
      </c>
      <c r="W314" s="105">
        <v>0</v>
      </c>
      <c r="X314" s="102">
        <v>0</v>
      </c>
      <c r="Y314" s="64"/>
      <c r="Z314" s="28"/>
    </row>
    <row r="315" spans="1:26" ht="12.75" hidden="1">
      <c r="A315" s="192" t="s">
        <v>351</v>
      </c>
      <c r="B315" s="193"/>
      <c r="C315" s="193"/>
      <c r="D315" s="193"/>
      <c r="E315" s="193"/>
      <c r="F315" s="194"/>
      <c r="G315" s="216" t="s">
        <v>43</v>
      </c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49">
        <f t="shared" si="110"/>
        <v>103915</v>
      </c>
      <c r="S315" s="85">
        <v>2250</v>
      </c>
      <c r="T315" s="86">
        <f>7765</f>
        <v>7765</v>
      </c>
      <c r="U315" s="86">
        <f>96060-2160</f>
        <v>93900</v>
      </c>
      <c r="V315" s="85">
        <v>0</v>
      </c>
      <c r="W315" s="105">
        <v>0</v>
      </c>
      <c r="X315" s="102">
        <v>0</v>
      </c>
      <c r="Y315" s="64">
        <f>SUM(S315:V315)</f>
        <v>103915</v>
      </c>
      <c r="Z315" s="28">
        <f t="shared" si="100"/>
        <v>0</v>
      </c>
    </row>
    <row r="316" spans="1:26" ht="12.75" hidden="1">
      <c r="A316" s="192" t="s">
        <v>352</v>
      </c>
      <c r="B316" s="193"/>
      <c r="C316" s="193"/>
      <c r="D316" s="193"/>
      <c r="E316" s="193"/>
      <c r="F316" s="194"/>
      <c r="G316" s="224" t="s">
        <v>70</v>
      </c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49">
        <f t="shared" si="110"/>
        <v>90524.51</v>
      </c>
      <c r="S316" s="85">
        <f>23950-2250-20700</f>
        <v>1000</v>
      </c>
      <c r="T316" s="86">
        <f>23950-14300+4000</f>
        <v>13650</v>
      </c>
      <c r="U316" s="86">
        <f>23950-22000+7200+12025+2326.92</f>
        <v>23501.92</v>
      </c>
      <c r="V316" s="85">
        <f>23950-5240-7765-3400-2326.92+2978.25+29310.95+23700-7513.66-1321.03</f>
        <v>52372.59</v>
      </c>
      <c r="W316" s="105">
        <v>95800</v>
      </c>
      <c r="X316" s="102">
        <v>95800</v>
      </c>
      <c r="Y316" s="64">
        <f>SUM(S316:V316)</f>
        <v>90524.51</v>
      </c>
      <c r="Z316" s="28">
        <f t="shared" si="100"/>
        <v>0</v>
      </c>
    </row>
    <row r="317" spans="1:26" s="3" customFormat="1" ht="12.75">
      <c r="A317" s="198" t="s">
        <v>531</v>
      </c>
      <c r="B317" s="199"/>
      <c r="C317" s="199"/>
      <c r="D317" s="199"/>
      <c r="E317" s="199"/>
      <c r="F317" s="200"/>
      <c r="G317" s="290" t="s">
        <v>95</v>
      </c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47">
        <f>R318</f>
        <v>75866</v>
      </c>
      <c r="S317" s="158">
        <f aca="true" t="shared" si="111" ref="S317:X317">S318</f>
        <v>0</v>
      </c>
      <c r="T317" s="30">
        <f t="shared" si="111"/>
        <v>0</v>
      </c>
      <c r="U317" s="30">
        <f t="shared" si="111"/>
        <v>60712</v>
      </c>
      <c r="V317" s="77">
        <f t="shared" si="111"/>
        <v>15154</v>
      </c>
      <c r="W317" s="47">
        <f t="shared" si="111"/>
        <v>0</v>
      </c>
      <c r="X317" s="98">
        <f t="shared" si="111"/>
        <v>0</v>
      </c>
      <c r="Y317" s="64">
        <f>SUM(S317:V317)</f>
        <v>75866</v>
      </c>
      <c r="Z317" s="28">
        <f>R317-S317-T317-U317-V317</f>
        <v>0</v>
      </c>
    </row>
    <row r="318" spans="1:26" ht="14.25" customHeight="1">
      <c r="A318" s="192" t="s">
        <v>505</v>
      </c>
      <c r="B318" s="193"/>
      <c r="C318" s="193"/>
      <c r="D318" s="193"/>
      <c r="E318" s="193"/>
      <c r="F318" s="194"/>
      <c r="G318" s="224" t="s">
        <v>506</v>
      </c>
      <c r="H318" s="225"/>
      <c r="I318" s="225"/>
      <c r="J318" s="225"/>
      <c r="K318" s="225"/>
      <c r="L318" s="225"/>
      <c r="M318" s="225"/>
      <c r="N318" s="225"/>
      <c r="O318" s="225"/>
      <c r="P318" s="152"/>
      <c r="Q318" s="152"/>
      <c r="R318" s="48">
        <f>R319</f>
        <v>75866</v>
      </c>
      <c r="S318" s="87">
        <f>S319</f>
        <v>0</v>
      </c>
      <c r="T318" s="88">
        <f>T319</f>
        <v>0</v>
      </c>
      <c r="U318" s="88">
        <f>U319</f>
        <v>60712</v>
      </c>
      <c r="V318" s="87">
        <f>V319</f>
        <v>15154</v>
      </c>
      <c r="W318" s="113"/>
      <c r="X318" s="112"/>
      <c r="Y318" s="64"/>
      <c r="Z318" s="28"/>
    </row>
    <row r="319" spans="1:26" ht="26.25" customHeight="1">
      <c r="A319" s="192" t="s">
        <v>504</v>
      </c>
      <c r="B319" s="193"/>
      <c r="C319" s="193"/>
      <c r="D319" s="193"/>
      <c r="E319" s="193"/>
      <c r="F319" s="194"/>
      <c r="G319" s="216" t="s">
        <v>189</v>
      </c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48">
        <f>R320</f>
        <v>75866</v>
      </c>
      <c r="S319" s="54">
        <f aca="true" t="shared" si="112" ref="S319:X321">S320</f>
        <v>0</v>
      </c>
      <c r="T319" s="31">
        <f t="shared" si="112"/>
        <v>0</v>
      </c>
      <c r="U319" s="31">
        <f t="shared" si="112"/>
        <v>60712</v>
      </c>
      <c r="V319" s="54">
        <f t="shared" si="112"/>
        <v>15154</v>
      </c>
      <c r="W319" s="113">
        <f t="shared" si="112"/>
        <v>0</v>
      </c>
      <c r="X319" s="112">
        <f t="shared" si="112"/>
        <v>0</v>
      </c>
      <c r="Y319" s="28">
        <f>SUM(S319:V319)</f>
        <v>75866</v>
      </c>
      <c r="Z319" s="28">
        <f t="shared" si="100"/>
        <v>0</v>
      </c>
    </row>
    <row r="320" spans="1:26" ht="27" customHeight="1">
      <c r="A320" s="192" t="s">
        <v>503</v>
      </c>
      <c r="B320" s="193"/>
      <c r="C320" s="193"/>
      <c r="D320" s="193"/>
      <c r="E320" s="193"/>
      <c r="F320" s="194"/>
      <c r="G320" s="216" t="s">
        <v>190</v>
      </c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48">
        <f>R321</f>
        <v>75866</v>
      </c>
      <c r="S320" s="54">
        <f t="shared" si="112"/>
        <v>0</v>
      </c>
      <c r="T320" s="31">
        <f t="shared" si="112"/>
        <v>0</v>
      </c>
      <c r="U320" s="31">
        <f t="shared" si="112"/>
        <v>60712</v>
      </c>
      <c r="V320" s="54">
        <f t="shared" si="112"/>
        <v>15154</v>
      </c>
      <c r="W320" s="113">
        <f t="shared" si="112"/>
        <v>0</v>
      </c>
      <c r="X320" s="112">
        <f t="shared" si="112"/>
        <v>0</v>
      </c>
      <c r="Y320" s="28">
        <f>SUM(S320:V320)</f>
        <v>75866</v>
      </c>
      <c r="Z320" s="28">
        <f t="shared" si="100"/>
        <v>0</v>
      </c>
    </row>
    <row r="321" spans="1:26" ht="27.75" customHeight="1">
      <c r="A321" s="192" t="s">
        <v>502</v>
      </c>
      <c r="B321" s="193"/>
      <c r="C321" s="193"/>
      <c r="D321" s="193"/>
      <c r="E321" s="193"/>
      <c r="F321" s="194"/>
      <c r="G321" s="216" t="s">
        <v>191</v>
      </c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48">
        <f>R322+R323</f>
        <v>75866</v>
      </c>
      <c r="S321" s="54">
        <f t="shared" si="112"/>
        <v>0</v>
      </c>
      <c r="T321" s="31">
        <f t="shared" si="112"/>
        <v>0</v>
      </c>
      <c r="U321" s="31">
        <f>U322+U323</f>
        <v>60712</v>
      </c>
      <c r="V321" s="54">
        <f t="shared" si="112"/>
        <v>15154</v>
      </c>
      <c r="W321" s="113">
        <f t="shared" si="112"/>
        <v>0</v>
      </c>
      <c r="X321" s="112">
        <f t="shared" si="112"/>
        <v>0</v>
      </c>
      <c r="Y321" s="28">
        <f>SUM(S321:V321)</f>
        <v>75866</v>
      </c>
      <c r="Z321" s="28">
        <f t="shared" si="100"/>
        <v>0</v>
      </c>
    </row>
    <row r="322" spans="1:26" ht="12.75" customHeight="1" hidden="1">
      <c r="A322" s="192" t="s">
        <v>501</v>
      </c>
      <c r="B322" s="193"/>
      <c r="C322" s="193"/>
      <c r="D322" s="193"/>
      <c r="E322" s="193"/>
      <c r="F322" s="194"/>
      <c r="G322" s="216" t="s">
        <v>41</v>
      </c>
      <c r="H322" s="217"/>
      <c r="I322" s="217"/>
      <c r="J322" s="217"/>
      <c r="K322" s="217"/>
      <c r="L322" s="217"/>
      <c r="M322" s="217"/>
      <c r="N322" s="217"/>
      <c r="O322" s="217"/>
      <c r="P322" s="217"/>
      <c r="Q322" s="217"/>
      <c r="R322" s="49">
        <f>SUM(S322:V322)</f>
        <v>49966</v>
      </c>
      <c r="S322" s="85">
        <v>0</v>
      </c>
      <c r="T322" s="86">
        <v>0</v>
      </c>
      <c r="U322" s="86">
        <v>34812</v>
      </c>
      <c r="V322" s="85">
        <f>15154</f>
        <v>15154</v>
      </c>
      <c r="W322" s="105">
        <v>0</v>
      </c>
      <c r="X322" s="102">
        <v>0</v>
      </c>
      <c r="Y322" s="64">
        <f t="shared" si="88"/>
        <v>49966</v>
      </c>
      <c r="Z322" s="28">
        <f t="shared" si="100"/>
        <v>0</v>
      </c>
    </row>
    <row r="323" spans="1:26" ht="12.75" customHeight="1" hidden="1">
      <c r="A323" s="192" t="s">
        <v>500</v>
      </c>
      <c r="B323" s="193"/>
      <c r="C323" s="193"/>
      <c r="D323" s="193"/>
      <c r="E323" s="193"/>
      <c r="F323" s="194"/>
      <c r="G323" s="216" t="s">
        <v>43</v>
      </c>
      <c r="H323" s="217"/>
      <c r="I323" s="217"/>
      <c r="J323" s="217"/>
      <c r="K323" s="217"/>
      <c r="L323" s="217"/>
      <c r="M323" s="217"/>
      <c r="N323" s="217"/>
      <c r="O323" s="217"/>
      <c r="P323" s="217"/>
      <c r="Q323" s="217"/>
      <c r="R323" s="49">
        <f>SUM(S323:V323)</f>
        <v>25900</v>
      </c>
      <c r="S323" s="85">
        <v>0</v>
      </c>
      <c r="T323" s="86">
        <v>0</v>
      </c>
      <c r="U323" s="86">
        <v>25900</v>
      </c>
      <c r="V323" s="85">
        <v>0</v>
      </c>
      <c r="W323" s="105">
        <v>0</v>
      </c>
      <c r="X323" s="102">
        <v>0</v>
      </c>
      <c r="Y323" s="64">
        <f>SUM(S323:V323)</f>
        <v>25900</v>
      </c>
      <c r="Z323" s="28">
        <f>R323-S323-T323-U323-V323</f>
        <v>0</v>
      </c>
    </row>
    <row r="324" spans="1:26" s="4" customFormat="1" ht="12.75">
      <c r="A324" s="201" t="s">
        <v>136</v>
      </c>
      <c r="B324" s="202"/>
      <c r="C324" s="202"/>
      <c r="D324" s="202"/>
      <c r="E324" s="202"/>
      <c r="F324" s="185"/>
      <c r="G324" s="313" t="s">
        <v>69</v>
      </c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4">
        <f>R325</f>
        <v>20000</v>
      </c>
      <c r="S324" s="53">
        <f aca="true" t="shared" si="113" ref="S324:X324">S325</f>
        <v>0</v>
      </c>
      <c r="T324" s="29">
        <f t="shared" si="113"/>
        <v>20000</v>
      </c>
      <c r="U324" s="29">
        <f t="shared" si="113"/>
        <v>0</v>
      </c>
      <c r="V324" s="53">
        <f t="shared" si="113"/>
        <v>0</v>
      </c>
      <c r="W324" s="34">
        <f t="shared" si="113"/>
        <v>0</v>
      </c>
      <c r="X324" s="96">
        <f t="shared" si="113"/>
        <v>0</v>
      </c>
      <c r="Y324" s="64">
        <f t="shared" si="88"/>
        <v>20000</v>
      </c>
      <c r="Z324" s="28">
        <f t="shared" si="100"/>
        <v>0</v>
      </c>
    </row>
    <row r="325" spans="1:26" s="3" customFormat="1" ht="12.75">
      <c r="A325" s="198" t="s">
        <v>137</v>
      </c>
      <c r="B325" s="199"/>
      <c r="C325" s="199"/>
      <c r="D325" s="199"/>
      <c r="E325" s="199"/>
      <c r="F325" s="200"/>
      <c r="G325" s="290" t="s">
        <v>95</v>
      </c>
      <c r="H325" s="291"/>
      <c r="I325" s="291"/>
      <c r="J325" s="291"/>
      <c r="K325" s="291"/>
      <c r="L325" s="291"/>
      <c r="M325" s="291"/>
      <c r="N325" s="291"/>
      <c r="O325" s="291"/>
      <c r="P325" s="291"/>
      <c r="Q325" s="291"/>
      <c r="R325" s="47">
        <f>R326+R331</f>
        <v>20000</v>
      </c>
      <c r="S325" s="77">
        <f aca="true" t="shared" si="114" ref="S325:X325">S326+S331</f>
        <v>0</v>
      </c>
      <c r="T325" s="30">
        <f t="shared" si="114"/>
        <v>20000</v>
      </c>
      <c r="U325" s="30">
        <f t="shared" si="114"/>
        <v>0</v>
      </c>
      <c r="V325" s="77">
        <f t="shared" si="114"/>
        <v>0</v>
      </c>
      <c r="W325" s="47">
        <f t="shared" si="114"/>
        <v>0</v>
      </c>
      <c r="X325" s="98">
        <f t="shared" si="114"/>
        <v>0</v>
      </c>
      <c r="Y325" s="64">
        <f t="shared" si="88"/>
        <v>20000</v>
      </c>
      <c r="Z325" s="28">
        <f t="shared" si="100"/>
        <v>0</v>
      </c>
    </row>
    <row r="326" spans="1:26" ht="24" customHeight="1">
      <c r="A326" s="192" t="s">
        <v>463</v>
      </c>
      <c r="B326" s="193"/>
      <c r="C326" s="193"/>
      <c r="D326" s="193"/>
      <c r="E326" s="193"/>
      <c r="F326" s="38"/>
      <c r="G326" s="216" t="s">
        <v>362</v>
      </c>
      <c r="H326" s="217"/>
      <c r="I326" s="217"/>
      <c r="J326" s="217"/>
      <c r="K326" s="217"/>
      <c r="L326" s="217"/>
      <c r="M326" s="217"/>
      <c r="N326" s="217"/>
      <c r="O326" s="217"/>
      <c r="P326" s="217"/>
      <c r="Q326" s="217"/>
      <c r="R326" s="48">
        <f aca="true" t="shared" si="115" ref="R326:X327">R327</f>
        <v>20000</v>
      </c>
      <c r="S326" s="54">
        <f t="shared" si="115"/>
        <v>0</v>
      </c>
      <c r="T326" s="31">
        <f t="shared" si="115"/>
        <v>20000</v>
      </c>
      <c r="U326" s="31">
        <f t="shared" si="115"/>
        <v>0</v>
      </c>
      <c r="V326" s="54">
        <f t="shared" si="115"/>
        <v>0</v>
      </c>
      <c r="W326" s="48">
        <f t="shared" si="115"/>
        <v>0</v>
      </c>
      <c r="X326" s="99">
        <f t="shared" si="115"/>
        <v>0</v>
      </c>
      <c r="Y326" s="64">
        <f t="shared" si="88"/>
        <v>20000</v>
      </c>
      <c r="Z326" s="28">
        <f t="shared" si="100"/>
        <v>0</v>
      </c>
    </row>
    <row r="327" spans="1:26" s="65" customFormat="1" ht="12.75">
      <c r="A327" s="192" t="s">
        <v>464</v>
      </c>
      <c r="B327" s="193"/>
      <c r="C327" s="193"/>
      <c r="D327" s="193"/>
      <c r="E327" s="193"/>
      <c r="F327" s="38"/>
      <c r="G327" s="216" t="s">
        <v>363</v>
      </c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48">
        <f t="shared" si="115"/>
        <v>20000</v>
      </c>
      <c r="S327" s="54">
        <f t="shared" si="115"/>
        <v>0</v>
      </c>
      <c r="T327" s="31">
        <f t="shared" si="115"/>
        <v>20000</v>
      </c>
      <c r="U327" s="31">
        <f t="shared" si="115"/>
        <v>0</v>
      </c>
      <c r="V327" s="54">
        <f t="shared" si="115"/>
        <v>0</v>
      </c>
      <c r="W327" s="48">
        <f t="shared" si="115"/>
        <v>0</v>
      </c>
      <c r="X327" s="99">
        <f t="shared" si="115"/>
        <v>0</v>
      </c>
      <c r="Y327" s="64">
        <f t="shared" si="88"/>
        <v>20000</v>
      </c>
      <c r="Z327" s="28">
        <f t="shared" si="100"/>
        <v>0</v>
      </c>
    </row>
    <row r="328" spans="1:26" s="65" customFormat="1" ht="24" customHeight="1">
      <c r="A328" s="192" t="s">
        <v>465</v>
      </c>
      <c r="B328" s="193"/>
      <c r="C328" s="193"/>
      <c r="D328" s="193"/>
      <c r="E328" s="193"/>
      <c r="F328" s="38"/>
      <c r="G328" s="216" t="s">
        <v>364</v>
      </c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48">
        <f>R329+R330</f>
        <v>20000</v>
      </c>
      <c r="S328" s="54">
        <f aca="true" t="shared" si="116" ref="S328:X328">S329+S330</f>
        <v>0</v>
      </c>
      <c r="T328" s="31">
        <f t="shared" si="116"/>
        <v>20000</v>
      </c>
      <c r="U328" s="31">
        <f t="shared" si="116"/>
        <v>0</v>
      </c>
      <c r="V328" s="54">
        <f t="shared" si="116"/>
        <v>0</v>
      </c>
      <c r="W328" s="48">
        <f t="shared" si="116"/>
        <v>0</v>
      </c>
      <c r="X328" s="99">
        <f t="shared" si="116"/>
        <v>0</v>
      </c>
      <c r="Y328" s="64">
        <f t="shared" si="88"/>
        <v>20000</v>
      </c>
      <c r="Z328" s="28">
        <f t="shared" si="100"/>
        <v>0</v>
      </c>
    </row>
    <row r="329" spans="1:26" ht="24.75" customHeight="1" hidden="1">
      <c r="A329" s="192" t="s">
        <v>466</v>
      </c>
      <c r="B329" s="193"/>
      <c r="C329" s="193"/>
      <c r="D329" s="193"/>
      <c r="E329" s="193"/>
      <c r="F329" s="194"/>
      <c r="G329" s="216" t="s">
        <v>205</v>
      </c>
      <c r="H329" s="217"/>
      <c r="I329" s="217"/>
      <c r="J329" s="217"/>
      <c r="K329" s="217"/>
      <c r="L329" s="217"/>
      <c r="M329" s="217"/>
      <c r="N329" s="217"/>
      <c r="O329" s="217"/>
      <c r="P329" s="217"/>
      <c r="Q329" s="217"/>
      <c r="R329" s="49">
        <f>SUM(S329:V329)</f>
        <v>20000</v>
      </c>
      <c r="S329" s="85">
        <v>0</v>
      </c>
      <c r="T329" s="86">
        <f>20000</f>
        <v>20000</v>
      </c>
      <c r="U329" s="86">
        <v>0</v>
      </c>
      <c r="V329" s="85">
        <v>0</v>
      </c>
      <c r="W329" s="105">
        <v>0</v>
      </c>
      <c r="X329" s="102">
        <v>0</v>
      </c>
      <c r="Y329" s="64">
        <f>SUM(S329:V329)</f>
        <v>20000</v>
      </c>
      <c r="Z329" s="28">
        <f t="shared" si="100"/>
        <v>0</v>
      </c>
    </row>
    <row r="330" spans="1:26" ht="12.75" hidden="1">
      <c r="A330" s="192" t="s">
        <v>356</v>
      </c>
      <c r="B330" s="193"/>
      <c r="C330" s="193"/>
      <c r="D330" s="193"/>
      <c r="E330" s="193"/>
      <c r="F330" s="194"/>
      <c r="G330" s="224" t="s">
        <v>70</v>
      </c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  <c r="R330" s="49">
        <f>SUM(S330:V330)</f>
        <v>0</v>
      </c>
      <c r="S330" s="85">
        <v>0</v>
      </c>
      <c r="T330" s="86">
        <v>0</v>
      </c>
      <c r="U330" s="86">
        <v>0</v>
      </c>
      <c r="V330" s="85">
        <v>0</v>
      </c>
      <c r="W330" s="105">
        <v>0</v>
      </c>
      <c r="X330" s="102">
        <v>0</v>
      </c>
      <c r="Y330" s="64">
        <f>SUM(S330:V330)</f>
        <v>0</v>
      </c>
      <c r="Z330" s="28">
        <f t="shared" si="100"/>
        <v>0</v>
      </c>
    </row>
    <row r="331" spans="1:26" ht="24" customHeight="1" hidden="1">
      <c r="A331" s="192" t="s">
        <v>353</v>
      </c>
      <c r="B331" s="193"/>
      <c r="C331" s="193"/>
      <c r="D331" s="193"/>
      <c r="E331" s="193"/>
      <c r="F331" s="38"/>
      <c r="G331" s="216" t="s">
        <v>189</v>
      </c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48">
        <f>R332</f>
        <v>0</v>
      </c>
      <c r="S331" s="87">
        <f aca="true" t="shared" si="117" ref="S331:X332">S332</f>
        <v>0</v>
      </c>
      <c r="T331" s="88">
        <f t="shared" si="117"/>
        <v>0</v>
      </c>
      <c r="U331" s="88">
        <f t="shared" si="117"/>
        <v>0</v>
      </c>
      <c r="V331" s="87">
        <f t="shared" si="117"/>
        <v>0</v>
      </c>
      <c r="W331" s="113">
        <f t="shared" si="117"/>
        <v>0</v>
      </c>
      <c r="X331" s="112">
        <f t="shared" si="117"/>
        <v>0</v>
      </c>
      <c r="Y331" s="64">
        <f>SUM(S331:V331)</f>
        <v>0</v>
      </c>
      <c r="Z331" s="28">
        <f t="shared" si="100"/>
        <v>0</v>
      </c>
    </row>
    <row r="332" spans="1:26" s="65" customFormat="1" ht="24" customHeight="1" hidden="1">
      <c r="A332" s="192" t="s">
        <v>354</v>
      </c>
      <c r="B332" s="193"/>
      <c r="C332" s="193"/>
      <c r="D332" s="193"/>
      <c r="E332" s="193"/>
      <c r="F332" s="38"/>
      <c r="G332" s="216" t="s">
        <v>190</v>
      </c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48">
        <f>R333</f>
        <v>0</v>
      </c>
      <c r="S332" s="87">
        <f t="shared" si="117"/>
        <v>0</v>
      </c>
      <c r="T332" s="88">
        <f t="shared" si="117"/>
        <v>0</v>
      </c>
      <c r="U332" s="88">
        <f t="shared" si="117"/>
        <v>0</v>
      </c>
      <c r="V332" s="87">
        <f t="shared" si="117"/>
        <v>0</v>
      </c>
      <c r="W332" s="113">
        <f t="shared" si="117"/>
        <v>0</v>
      </c>
      <c r="X332" s="112">
        <f t="shared" si="117"/>
        <v>0</v>
      </c>
      <c r="Y332" s="64">
        <f>SUM(S332:V332)</f>
        <v>0</v>
      </c>
      <c r="Z332" s="28">
        <f t="shared" si="100"/>
        <v>0</v>
      </c>
    </row>
    <row r="333" spans="1:26" s="65" customFormat="1" ht="24" customHeight="1" hidden="1">
      <c r="A333" s="192" t="s">
        <v>355</v>
      </c>
      <c r="B333" s="193"/>
      <c r="C333" s="193"/>
      <c r="D333" s="193"/>
      <c r="E333" s="193"/>
      <c r="F333" s="38"/>
      <c r="G333" s="216" t="s">
        <v>191</v>
      </c>
      <c r="H333" s="217"/>
      <c r="I333" s="217"/>
      <c r="J333" s="217"/>
      <c r="K333" s="217"/>
      <c r="L333" s="217"/>
      <c r="M333" s="217"/>
      <c r="N333" s="217"/>
      <c r="O333" s="217"/>
      <c r="P333" s="217"/>
      <c r="Q333" s="217"/>
      <c r="R333" s="48">
        <f>R334+R335</f>
        <v>0</v>
      </c>
      <c r="S333" s="87">
        <f aca="true" t="shared" si="118" ref="S333:X333">S334+S335</f>
        <v>0</v>
      </c>
      <c r="T333" s="88">
        <f t="shared" si="118"/>
        <v>0</v>
      </c>
      <c r="U333" s="88">
        <f t="shared" si="118"/>
        <v>0</v>
      </c>
      <c r="V333" s="87">
        <f t="shared" si="118"/>
        <v>0</v>
      </c>
      <c r="W333" s="113">
        <f t="shared" si="118"/>
        <v>0</v>
      </c>
      <c r="X333" s="112">
        <f t="shared" si="118"/>
        <v>0</v>
      </c>
      <c r="Y333" s="64">
        <f>SUM(S333:V333)</f>
        <v>0</v>
      </c>
      <c r="Z333" s="28">
        <f t="shared" si="100"/>
        <v>0</v>
      </c>
    </row>
    <row r="334" spans="1:26" ht="12.75" hidden="1">
      <c r="A334" s="192" t="s">
        <v>357</v>
      </c>
      <c r="B334" s="193"/>
      <c r="C334" s="193"/>
      <c r="D334" s="193"/>
      <c r="E334" s="193"/>
      <c r="F334" s="194"/>
      <c r="G334" s="216" t="s">
        <v>43</v>
      </c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49">
        <f>SUM(S334:V334)</f>
        <v>0</v>
      </c>
      <c r="S334" s="85">
        <v>0</v>
      </c>
      <c r="T334" s="86">
        <v>0</v>
      </c>
      <c r="U334" s="86">
        <v>0</v>
      </c>
      <c r="V334" s="85">
        <v>0</v>
      </c>
      <c r="W334" s="105">
        <v>0</v>
      </c>
      <c r="X334" s="102">
        <v>0</v>
      </c>
      <c r="Y334" s="64">
        <f t="shared" si="88"/>
        <v>0</v>
      </c>
      <c r="Z334" s="28">
        <f t="shared" si="100"/>
        <v>0</v>
      </c>
    </row>
    <row r="335" spans="1:26" ht="12.75" hidden="1">
      <c r="A335" s="192" t="s">
        <v>358</v>
      </c>
      <c r="B335" s="193"/>
      <c r="C335" s="193"/>
      <c r="D335" s="193"/>
      <c r="E335" s="193"/>
      <c r="F335" s="194"/>
      <c r="G335" s="224" t="s">
        <v>70</v>
      </c>
      <c r="H335" s="225"/>
      <c r="I335" s="225"/>
      <c r="J335" s="225"/>
      <c r="K335" s="225"/>
      <c r="L335" s="225"/>
      <c r="M335" s="225"/>
      <c r="N335" s="225"/>
      <c r="O335" s="225"/>
      <c r="P335" s="225"/>
      <c r="Q335" s="225"/>
      <c r="R335" s="49">
        <f>SUM(S335:V335)</f>
        <v>0</v>
      </c>
      <c r="S335" s="85">
        <v>0</v>
      </c>
      <c r="T335" s="86">
        <v>0</v>
      </c>
      <c r="U335" s="86">
        <v>0</v>
      </c>
      <c r="V335" s="85">
        <v>0</v>
      </c>
      <c r="W335" s="105">
        <v>0</v>
      </c>
      <c r="X335" s="102">
        <v>0</v>
      </c>
      <c r="Y335" s="64">
        <f>SUM(S335:V335)</f>
        <v>0</v>
      </c>
      <c r="Z335" s="28">
        <f t="shared" si="100"/>
        <v>0</v>
      </c>
    </row>
    <row r="336" spans="1:26" s="4" customFormat="1" ht="12.75">
      <c r="A336" s="201" t="s">
        <v>138</v>
      </c>
      <c r="B336" s="202"/>
      <c r="C336" s="202"/>
      <c r="D336" s="202"/>
      <c r="E336" s="202"/>
      <c r="F336" s="185"/>
      <c r="G336" s="182" t="s">
        <v>55</v>
      </c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34">
        <f>R337</f>
        <v>7311777.600000001</v>
      </c>
      <c r="S336" s="53">
        <f aca="true" t="shared" si="119" ref="S336:X336">S337</f>
        <v>1652000</v>
      </c>
      <c r="T336" s="29">
        <f t="shared" si="119"/>
        <v>2569800</v>
      </c>
      <c r="U336" s="29">
        <f t="shared" si="119"/>
        <v>1521800</v>
      </c>
      <c r="V336" s="53">
        <f t="shared" si="119"/>
        <v>1568177.5999999999</v>
      </c>
      <c r="W336" s="34">
        <f t="shared" si="119"/>
        <v>5526100</v>
      </c>
      <c r="X336" s="96">
        <f t="shared" si="119"/>
        <v>5658800</v>
      </c>
      <c r="Y336" s="64">
        <f t="shared" si="88"/>
        <v>7311777.6</v>
      </c>
      <c r="Z336" s="28">
        <f t="shared" si="100"/>
        <v>0</v>
      </c>
    </row>
    <row r="337" spans="1:26" s="43" customFormat="1" ht="12.75">
      <c r="A337" s="186" t="s">
        <v>139</v>
      </c>
      <c r="B337" s="181"/>
      <c r="C337" s="181"/>
      <c r="D337" s="181"/>
      <c r="E337" s="181"/>
      <c r="F337" s="41"/>
      <c r="G337" s="222" t="s">
        <v>173</v>
      </c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46">
        <f>R338+R345</f>
        <v>7311777.600000001</v>
      </c>
      <c r="S337" s="75">
        <f aca="true" t="shared" si="120" ref="S337:X337">S338+S345</f>
        <v>1652000</v>
      </c>
      <c r="T337" s="44">
        <f t="shared" si="120"/>
        <v>2569800</v>
      </c>
      <c r="U337" s="44">
        <f t="shared" si="120"/>
        <v>1521800</v>
      </c>
      <c r="V337" s="75">
        <f t="shared" si="120"/>
        <v>1568177.5999999999</v>
      </c>
      <c r="W337" s="46">
        <f t="shared" si="120"/>
        <v>5526100</v>
      </c>
      <c r="X337" s="97">
        <f t="shared" si="120"/>
        <v>5658800</v>
      </c>
      <c r="Y337" s="64">
        <f t="shared" si="88"/>
        <v>7311777.6</v>
      </c>
      <c r="Z337" s="28">
        <f t="shared" si="100"/>
        <v>0</v>
      </c>
    </row>
    <row r="338" spans="1:26" s="3" customFormat="1" ht="12.75">
      <c r="A338" s="198" t="s">
        <v>174</v>
      </c>
      <c r="B338" s="199"/>
      <c r="C338" s="199"/>
      <c r="D338" s="199"/>
      <c r="E338" s="199"/>
      <c r="F338" s="200"/>
      <c r="G338" s="220" t="s">
        <v>172</v>
      </c>
      <c r="H338" s="221"/>
      <c r="I338" s="221"/>
      <c r="J338" s="221"/>
      <c r="K338" s="221"/>
      <c r="L338" s="221"/>
      <c r="M338" s="221"/>
      <c r="N338" s="221"/>
      <c r="O338" s="221"/>
      <c r="P338" s="221"/>
      <c r="Q338" s="221"/>
      <c r="R338" s="47">
        <f>R339</f>
        <v>182200</v>
      </c>
      <c r="S338" s="77">
        <f aca="true" t="shared" si="121" ref="S338:X343">S339</f>
        <v>25000</v>
      </c>
      <c r="T338" s="30">
        <f t="shared" si="121"/>
        <v>45000</v>
      </c>
      <c r="U338" s="30">
        <f t="shared" si="121"/>
        <v>20000</v>
      </c>
      <c r="V338" s="77">
        <f t="shared" si="121"/>
        <v>92200</v>
      </c>
      <c r="W338" s="47">
        <f t="shared" si="121"/>
        <v>90400</v>
      </c>
      <c r="X338" s="98">
        <f t="shared" si="121"/>
        <v>92600</v>
      </c>
      <c r="Y338" s="64">
        <f t="shared" si="88"/>
        <v>182200</v>
      </c>
      <c r="Z338" s="28">
        <f t="shared" si="100"/>
        <v>0</v>
      </c>
    </row>
    <row r="339" spans="1:26" ht="27" customHeight="1">
      <c r="A339" s="192" t="s">
        <v>365</v>
      </c>
      <c r="B339" s="193"/>
      <c r="C339" s="193"/>
      <c r="D339" s="193"/>
      <c r="E339" s="193"/>
      <c r="F339" s="194"/>
      <c r="G339" s="216" t="s">
        <v>362</v>
      </c>
      <c r="H339" s="217"/>
      <c r="I339" s="217"/>
      <c r="J339" s="217"/>
      <c r="K339" s="217"/>
      <c r="L339" s="217"/>
      <c r="M339" s="217"/>
      <c r="N339" s="217"/>
      <c r="O339" s="217"/>
      <c r="P339" s="217"/>
      <c r="Q339" s="217"/>
      <c r="R339" s="48">
        <f>R340</f>
        <v>182200</v>
      </c>
      <c r="S339" s="54">
        <f t="shared" si="121"/>
        <v>25000</v>
      </c>
      <c r="T339" s="31">
        <f t="shared" si="121"/>
        <v>45000</v>
      </c>
      <c r="U339" s="31">
        <f t="shared" si="121"/>
        <v>20000</v>
      </c>
      <c r="V339" s="54">
        <f t="shared" si="121"/>
        <v>92200</v>
      </c>
      <c r="W339" s="48">
        <f t="shared" si="121"/>
        <v>90400</v>
      </c>
      <c r="X339" s="99">
        <f t="shared" si="121"/>
        <v>92600</v>
      </c>
      <c r="Y339" s="64">
        <f t="shared" si="88"/>
        <v>182200</v>
      </c>
      <c r="Z339" s="28">
        <f t="shared" si="100"/>
        <v>0</v>
      </c>
    </row>
    <row r="340" spans="1:26" ht="12.75">
      <c r="A340" s="192" t="s">
        <v>366</v>
      </c>
      <c r="B340" s="193"/>
      <c r="C340" s="193"/>
      <c r="D340" s="193"/>
      <c r="E340" s="193"/>
      <c r="F340" s="194"/>
      <c r="G340" s="216" t="s">
        <v>363</v>
      </c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48">
        <f>R341+R343</f>
        <v>182200</v>
      </c>
      <c r="S340" s="151">
        <f aca="true" t="shared" si="122" ref="S340:X340">S341+S343</f>
        <v>25000</v>
      </c>
      <c r="T340" s="31">
        <f t="shared" si="122"/>
        <v>45000</v>
      </c>
      <c r="U340" s="31">
        <f t="shared" si="122"/>
        <v>20000</v>
      </c>
      <c r="V340" s="54">
        <f t="shared" si="122"/>
        <v>92200</v>
      </c>
      <c r="W340" s="48">
        <f t="shared" si="122"/>
        <v>90400</v>
      </c>
      <c r="X340" s="99">
        <f t="shared" si="122"/>
        <v>92600</v>
      </c>
      <c r="Y340" s="64">
        <f t="shared" si="88"/>
        <v>182200</v>
      </c>
      <c r="Z340" s="28">
        <f t="shared" si="100"/>
        <v>0</v>
      </c>
    </row>
    <row r="341" spans="1:26" ht="35.25" customHeight="1">
      <c r="A341" s="192" t="s">
        <v>367</v>
      </c>
      <c r="B341" s="193"/>
      <c r="C341" s="193"/>
      <c r="D341" s="193"/>
      <c r="E341" s="193"/>
      <c r="F341" s="194"/>
      <c r="G341" s="216" t="s">
        <v>364</v>
      </c>
      <c r="H341" s="217"/>
      <c r="I341" s="217"/>
      <c r="J341" s="217"/>
      <c r="K341" s="217"/>
      <c r="L341" s="217"/>
      <c r="M341" s="217"/>
      <c r="N341" s="217"/>
      <c r="O341" s="217"/>
      <c r="P341" s="217"/>
      <c r="Q341" s="217"/>
      <c r="R341" s="48">
        <f>R342</f>
        <v>182200</v>
      </c>
      <c r="S341" s="54">
        <f t="shared" si="121"/>
        <v>25000</v>
      </c>
      <c r="T341" s="31">
        <f t="shared" si="121"/>
        <v>45000</v>
      </c>
      <c r="U341" s="31">
        <f t="shared" si="121"/>
        <v>20000</v>
      </c>
      <c r="V341" s="54">
        <f t="shared" si="121"/>
        <v>92200</v>
      </c>
      <c r="W341" s="48">
        <f t="shared" si="121"/>
        <v>90400</v>
      </c>
      <c r="X341" s="99">
        <f t="shared" si="121"/>
        <v>92600</v>
      </c>
      <c r="Y341" s="64">
        <f t="shared" si="88"/>
        <v>182200</v>
      </c>
      <c r="Z341" s="28">
        <f aca="true" t="shared" si="123" ref="Z341:Z387">R341-S341-T341-U341-V341</f>
        <v>0</v>
      </c>
    </row>
    <row r="342" spans="1:26" ht="24" customHeight="1" hidden="1">
      <c r="A342" s="192" t="s">
        <v>368</v>
      </c>
      <c r="B342" s="193"/>
      <c r="C342" s="193"/>
      <c r="D342" s="193"/>
      <c r="E342" s="193"/>
      <c r="F342" s="194"/>
      <c r="G342" s="216" t="s">
        <v>205</v>
      </c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49">
        <f>SUM(S342:V342)</f>
        <v>182200</v>
      </c>
      <c r="S342" s="85">
        <f>25000</f>
        <v>25000</v>
      </c>
      <c r="T342" s="86">
        <f>25000+20000</f>
        <v>45000</v>
      </c>
      <c r="U342" s="86">
        <f>5000+15000</f>
        <v>20000</v>
      </c>
      <c r="V342" s="85">
        <f>32200-20000+10000+50000+20000</f>
        <v>92200</v>
      </c>
      <c r="W342" s="105">
        <v>90400</v>
      </c>
      <c r="X342" s="102">
        <v>92600</v>
      </c>
      <c r="Y342" s="64">
        <f t="shared" si="88"/>
        <v>182200</v>
      </c>
      <c r="Z342" s="28">
        <f t="shared" si="123"/>
        <v>0</v>
      </c>
    </row>
    <row r="343" spans="1:26" ht="12.75" hidden="1">
      <c r="A343" s="192" t="s">
        <v>529</v>
      </c>
      <c r="B343" s="193"/>
      <c r="C343" s="193"/>
      <c r="D343" s="193"/>
      <c r="E343" s="193"/>
      <c r="F343" s="194"/>
      <c r="G343" s="216" t="s">
        <v>392</v>
      </c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48">
        <f>R344</f>
        <v>0</v>
      </c>
      <c r="S343" s="54">
        <f t="shared" si="121"/>
        <v>0</v>
      </c>
      <c r="T343" s="31">
        <f t="shared" si="121"/>
        <v>0</v>
      </c>
      <c r="U343" s="31">
        <f t="shared" si="121"/>
        <v>0</v>
      </c>
      <c r="V343" s="54">
        <f t="shared" si="121"/>
        <v>0</v>
      </c>
      <c r="W343" s="48">
        <f t="shared" si="121"/>
        <v>0</v>
      </c>
      <c r="X343" s="99">
        <f t="shared" si="121"/>
        <v>0</v>
      </c>
      <c r="Y343" s="64">
        <f>SUM(S343:V343)</f>
        <v>0</v>
      </c>
      <c r="Z343" s="28">
        <f>R343-S343-T343-U343-V343</f>
        <v>0</v>
      </c>
    </row>
    <row r="344" spans="1:26" ht="24" customHeight="1" hidden="1">
      <c r="A344" s="192" t="s">
        <v>530</v>
      </c>
      <c r="B344" s="193"/>
      <c r="C344" s="193"/>
      <c r="D344" s="193"/>
      <c r="E344" s="193"/>
      <c r="F344" s="194"/>
      <c r="G344" s="216" t="s">
        <v>205</v>
      </c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49">
        <f>SUM(S344:V344)</f>
        <v>0</v>
      </c>
      <c r="S344" s="85">
        <v>0</v>
      </c>
      <c r="T344" s="86">
        <v>0</v>
      </c>
      <c r="U344" s="86">
        <v>0</v>
      </c>
      <c r="V344" s="85">
        <v>0</v>
      </c>
      <c r="W344" s="105">
        <v>0</v>
      </c>
      <c r="X344" s="102">
        <v>0</v>
      </c>
      <c r="Y344" s="64">
        <f>SUM(S344:V344)</f>
        <v>0</v>
      </c>
      <c r="Z344" s="28">
        <f>R344-S344-T344-U344-V344</f>
        <v>0</v>
      </c>
    </row>
    <row r="345" spans="1:26" s="3" customFormat="1" ht="12.75">
      <c r="A345" s="198" t="s">
        <v>140</v>
      </c>
      <c r="B345" s="199"/>
      <c r="C345" s="199"/>
      <c r="D345" s="199"/>
      <c r="E345" s="199"/>
      <c r="F345" s="200"/>
      <c r="G345" s="220" t="s">
        <v>56</v>
      </c>
      <c r="H345" s="221"/>
      <c r="I345" s="221"/>
      <c r="J345" s="221"/>
      <c r="K345" s="221"/>
      <c r="L345" s="221"/>
      <c r="M345" s="221"/>
      <c r="N345" s="221"/>
      <c r="O345" s="221"/>
      <c r="P345" s="221"/>
      <c r="Q345" s="221"/>
      <c r="R345" s="47">
        <f>R346</f>
        <v>7129577.600000001</v>
      </c>
      <c r="S345" s="77">
        <f aca="true" t="shared" si="124" ref="S345:X346">S346</f>
        <v>1627000</v>
      </c>
      <c r="T345" s="30">
        <f t="shared" si="124"/>
        <v>2524800</v>
      </c>
      <c r="U345" s="30">
        <f t="shared" si="124"/>
        <v>1501800</v>
      </c>
      <c r="V345" s="77">
        <f t="shared" si="124"/>
        <v>1475977.5999999999</v>
      </c>
      <c r="W345" s="47">
        <f t="shared" si="124"/>
        <v>5435700</v>
      </c>
      <c r="X345" s="98">
        <f t="shared" si="124"/>
        <v>5566200</v>
      </c>
      <c r="Y345" s="64">
        <f t="shared" si="88"/>
        <v>7129577.6</v>
      </c>
      <c r="Z345" s="28">
        <f t="shared" si="123"/>
        <v>0</v>
      </c>
    </row>
    <row r="346" spans="1:26" ht="24.75" customHeight="1">
      <c r="A346" s="192" t="s">
        <v>359</v>
      </c>
      <c r="B346" s="193"/>
      <c r="C346" s="193"/>
      <c r="D346" s="193"/>
      <c r="E346" s="193"/>
      <c r="F346" s="194"/>
      <c r="G346" s="216" t="s">
        <v>362</v>
      </c>
      <c r="H346" s="217"/>
      <c r="I346" s="217"/>
      <c r="J346" s="217"/>
      <c r="K346" s="217"/>
      <c r="L346" s="217"/>
      <c r="M346" s="217"/>
      <c r="N346" s="217"/>
      <c r="O346" s="217"/>
      <c r="P346" s="217"/>
      <c r="Q346" s="217"/>
      <c r="R346" s="48">
        <f>R347</f>
        <v>7129577.600000001</v>
      </c>
      <c r="S346" s="54">
        <f>S347</f>
        <v>1627000</v>
      </c>
      <c r="T346" s="31">
        <f t="shared" si="124"/>
        <v>2524800</v>
      </c>
      <c r="U346" s="31">
        <f t="shared" si="124"/>
        <v>1501800</v>
      </c>
      <c r="V346" s="54">
        <f t="shared" si="124"/>
        <v>1475977.5999999999</v>
      </c>
      <c r="W346" s="48">
        <f t="shared" si="124"/>
        <v>5435700</v>
      </c>
      <c r="X346" s="99">
        <f t="shared" si="124"/>
        <v>5566200</v>
      </c>
      <c r="Y346" s="64">
        <f t="shared" si="88"/>
        <v>7129577.6</v>
      </c>
      <c r="Z346" s="28">
        <f t="shared" si="123"/>
        <v>0</v>
      </c>
    </row>
    <row r="347" spans="1:26" ht="12.75">
      <c r="A347" s="192" t="s">
        <v>360</v>
      </c>
      <c r="B347" s="193"/>
      <c r="C347" s="193"/>
      <c r="D347" s="193"/>
      <c r="E347" s="193"/>
      <c r="F347" s="194"/>
      <c r="G347" s="216" t="s">
        <v>363</v>
      </c>
      <c r="H347" s="217"/>
      <c r="I347" s="217"/>
      <c r="J347" s="217"/>
      <c r="K347" s="217"/>
      <c r="L347" s="217"/>
      <c r="M347" s="217"/>
      <c r="N347" s="217"/>
      <c r="O347" s="217"/>
      <c r="P347" s="217"/>
      <c r="Q347" s="217"/>
      <c r="R347" s="48">
        <f aca="true" t="shared" si="125" ref="R347:X347">R348+R350</f>
        <v>7129577.600000001</v>
      </c>
      <c r="S347" s="54">
        <f t="shared" si="125"/>
        <v>1627000</v>
      </c>
      <c r="T347" s="31">
        <f t="shared" si="125"/>
        <v>2524800</v>
      </c>
      <c r="U347" s="31">
        <f t="shared" si="125"/>
        <v>1501800</v>
      </c>
      <c r="V347" s="54">
        <f t="shared" si="125"/>
        <v>1475977.5999999999</v>
      </c>
      <c r="W347" s="48">
        <f t="shared" si="125"/>
        <v>5435700</v>
      </c>
      <c r="X347" s="99">
        <f t="shared" si="125"/>
        <v>5566200</v>
      </c>
      <c r="Y347" s="64">
        <f t="shared" si="88"/>
        <v>7129577.6</v>
      </c>
      <c r="Z347" s="28">
        <f t="shared" si="123"/>
        <v>0</v>
      </c>
    </row>
    <row r="348" spans="1:26" ht="35.25" customHeight="1">
      <c r="A348" s="192" t="s">
        <v>361</v>
      </c>
      <c r="B348" s="193"/>
      <c r="C348" s="193"/>
      <c r="D348" s="193"/>
      <c r="E348" s="193"/>
      <c r="F348" s="194"/>
      <c r="G348" s="216" t="s">
        <v>364</v>
      </c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48">
        <f>R349</f>
        <v>6729242.2</v>
      </c>
      <c r="S348" s="54">
        <f aca="true" t="shared" si="126" ref="S348:X348">SUM(S349:S349)</f>
        <v>1627000</v>
      </c>
      <c r="T348" s="31">
        <f t="shared" si="126"/>
        <v>2398800</v>
      </c>
      <c r="U348" s="31">
        <f t="shared" si="126"/>
        <v>1301800</v>
      </c>
      <c r="V348" s="54">
        <f t="shared" si="126"/>
        <v>1401642.2</v>
      </c>
      <c r="W348" s="48">
        <f t="shared" si="126"/>
        <v>5435700</v>
      </c>
      <c r="X348" s="99">
        <f t="shared" si="126"/>
        <v>5566200</v>
      </c>
      <c r="Y348" s="64">
        <f t="shared" si="88"/>
        <v>6729242.2</v>
      </c>
      <c r="Z348" s="28">
        <f t="shared" si="123"/>
        <v>0</v>
      </c>
    </row>
    <row r="349" spans="1:26" ht="24" customHeight="1" hidden="1">
      <c r="A349" s="192" t="s">
        <v>373</v>
      </c>
      <c r="B349" s="193"/>
      <c r="C349" s="193"/>
      <c r="D349" s="193"/>
      <c r="E349" s="193"/>
      <c r="F349" s="194"/>
      <c r="G349" s="216" t="s">
        <v>205</v>
      </c>
      <c r="H349" s="217"/>
      <c r="I349" s="217"/>
      <c r="J349" s="217"/>
      <c r="K349" s="217"/>
      <c r="L349" s="217"/>
      <c r="M349" s="217"/>
      <c r="N349" s="217"/>
      <c r="O349" s="217"/>
      <c r="P349" s="217"/>
      <c r="Q349" s="217"/>
      <c r="R349" s="49">
        <f>SUM(S349:V349)</f>
        <v>6729242.2</v>
      </c>
      <c r="S349" s="85">
        <f>1627000</f>
        <v>1627000</v>
      </c>
      <c r="T349" s="86">
        <f>1989800+250000-20000+241800-62800</f>
        <v>2398800</v>
      </c>
      <c r="U349" s="86">
        <f>1156800-5000+150000</f>
        <v>1301800</v>
      </c>
      <c r="V349" s="85">
        <f>467800-12200-35000+341541.2+570000+69501</f>
        <v>1401642.2</v>
      </c>
      <c r="W349" s="105">
        <v>5435700</v>
      </c>
      <c r="X349" s="102">
        <v>5566200</v>
      </c>
      <c r="Y349" s="64">
        <f t="shared" si="88"/>
        <v>6729242.2</v>
      </c>
      <c r="Z349" s="28">
        <f t="shared" si="123"/>
        <v>0</v>
      </c>
    </row>
    <row r="350" spans="1:26" ht="12.75">
      <c r="A350" s="192" t="s">
        <v>420</v>
      </c>
      <c r="B350" s="193"/>
      <c r="C350" s="193"/>
      <c r="D350" s="193"/>
      <c r="E350" s="193"/>
      <c r="F350" s="194"/>
      <c r="G350" s="216" t="s">
        <v>392</v>
      </c>
      <c r="H350" s="217"/>
      <c r="I350" s="217"/>
      <c r="J350" s="217"/>
      <c r="K350" s="217"/>
      <c r="L350" s="217"/>
      <c r="M350" s="217"/>
      <c r="N350" s="217"/>
      <c r="O350" s="217"/>
      <c r="P350" s="217"/>
      <c r="Q350" s="217"/>
      <c r="R350" s="48">
        <f>R351</f>
        <v>400335.4</v>
      </c>
      <c r="S350" s="54">
        <f aca="true" t="shared" si="127" ref="S350:X350">S351</f>
        <v>0</v>
      </c>
      <c r="T350" s="31">
        <f t="shared" si="127"/>
        <v>126000</v>
      </c>
      <c r="U350" s="31">
        <f t="shared" si="127"/>
        <v>200000</v>
      </c>
      <c r="V350" s="54">
        <f t="shared" si="127"/>
        <v>74335.4</v>
      </c>
      <c r="W350" s="48">
        <f t="shared" si="127"/>
        <v>0</v>
      </c>
      <c r="X350" s="99">
        <f t="shared" si="127"/>
        <v>0</v>
      </c>
      <c r="Y350" s="64">
        <f t="shared" si="88"/>
        <v>400335.4</v>
      </c>
      <c r="Z350" s="28">
        <f t="shared" si="123"/>
        <v>0</v>
      </c>
    </row>
    <row r="351" spans="1:26" ht="24" customHeight="1" hidden="1">
      <c r="A351" s="192" t="s">
        <v>421</v>
      </c>
      <c r="B351" s="193"/>
      <c r="C351" s="193"/>
      <c r="D351" s="193"/>
      <c r="E351" s="193"/>
      <c r="F351" s="194"/>
      <c r="G351" s="216" t="s">
        <v>205</v>
      </c>
      <c r="H351" s="217"/>
      <c r="I351" s="217"/>
      <c r="J351" s="217"/>
      <c r="K351" s="217"/>
      <c r="L351" s="217"/>
      <c r="M351" s="217"/>
      <c r="N351" s="217"/>
      <c r="O351" s="217"/>
      <c r="P351" s="217"/>
      <c r="Q351" s="217"/>
      <c r="R351" s="49">
        <f>SUM(S351:V351)</f>
        <v>400335.4</v>
      </c>
      <c r="S351" s="85">
        <v>0</v>
      </c>
      <c r="T351" s="86">
        <f>46000+80000</f>
        <v>126000</v>
      </c>
      <c r="U351" s="86">
        <v>200000</v>
      </c>
      <c r="V351" s="85">
        <f>30000+44335.4</f>
        <v>74335.4</v>
      </c>
      <c r="W351" s="105">
        <v>0</v>
      </c>
      <c r="X351" s="102">
        <v>0</v>
      </c>
      <c r="Y351" s="64">
        <f t="shared" si="88"/>
        <v>400335.4</v>
      </c>
      <c r="Z351" s="28">
        <f t="shared" si="123"/>
        <v>0</v>
      </c>
    </row>
    <row r="352" spans="1:26" s="4" customFormat="1" ht="16.5" customHeight="1">
      <c r="A352" s="201" t="s">
        <v>141</v>
      </c>
      <c r="B352" s="202"/>
      <c r="C352" s="202"/>
      <c r="D352" s="202"/>
      <c r="E352" s="202"/>
      <c r="F352" s="185"/>
      <c r="G352" s="214" t="s">
        <v>59</v>
      </c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34">
        <f>R356+R353</f>
        <v>79461.12</v>
      </c>
      <c r="S352" s="53">
        <f aca="true" t="shared" si="128" ref="S352:X352">S356+S353</f>
        <v>25200</v>
      </c>
      <c r="T352" s="29">
        <f t="shared" si="128"/>
        <v>25554</v>
      </c>
      <c r="U352" s="29">
        <f t="shared" si="128"/>
        <v>22000</v>
      </c>
      <c r="V352" s="53">
        <f t="shared" si="128"/>
        <v>6707.12</v>
      </c>
      <c r="W352" s="34">
        <f t="shared" si="128"/>
        <v>0</v>
      </c>
      <c r="X352" s="96">
        <f t="shared" si="128"/>
        <v>0</v>
      </c>
      <c r="Y352" s="64">
        <f aca="true" t="shared" si="129" ref="Y352:Y361">SUM(S352:V352)</f>
        <v>79461.12</v>
      </c>
      <c r="Z352" s="28">
        <f t="shared" si="123"/>
        <v>0</v>
      </c>
    </row>
    <row r="353" spans="1:26" s="4" customFormat="1" ht="16.5" customHeight="1" hidden="1">
      <c r="A353" s="198" t="s">
        <v>142</v>
      </c>
      <c r="B353" s="199"/>
      <c r="C353" s="199"/>
      <c r="D353" s="199"/>
      <c r="E353" s="199"/>
      <c r="F353" s="200"/>
      <c r="G353" s="218" t="s">
        <v>60</v>
      </c>
      <c r="H353" s="219"/>
      <c r="I353" s="219"/>
      <c r="J353" s="219"/>
      <c r="K353" s="219"/>
      <c r="L353" s="219"/>
      <c r="M353" s="219"/>
      <c r="N353" s="219"/>
      <c r="O353" s="219"/>
      <c r="P353" s="219"/>
      <c r="Q353" s="219"/>
      <c r="R353" s="47">
        <f>R354</f>
        <v>0</v>
      </c>
      <c r="S353" s="77">
        <f aca="true" t="shared" si="130" ref="S353:X354">S354</f>
        <v>0</v>
      </c>
      <c r="T353" s="30">
        <f t="shared" si="130"/>
        <v>0</v>
      </c>
      <c r="U353" s="30">
        <f t="shared" si="130"/>
        <v>0</v>
      </c>
      <c r="V353" s="77">
        <f t="shared" si="130"/>
        <v>0</v>
      </c>
      <c r="W353" s="47">
        <f t="shared" si="130"/>
        <v>0</v>
      </c>
      <c r="X353" s="98">
        <f t="shared" si="130"/>
        <v>0</v>
      </c>
      <c r="Y353" s="64">
        <f t="shared" si="129"/>
        <v>0</v>
      </c>
      <c r="Z353" s="28">
        <f t="shared" si="123"/>
        <v>0</v>
      </c>
    </row>
    <row r="354" spans="1:26" s="4" customFormat="1" ht="16.5" customHeight="1" hidden="1">
      <c r="A354" s="192" t="s">
        <v>380</v>
      </c>
      <c r="B354" s="193"/>
      <c r="C354" s="193"/>
      <c r="D354" s="193"/>
      <c r="E354" s="193"/>
      <c r="F354" s="194"/>
      <c r="G354" s="206" t="s">
        <v>61</v>
      </c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48">
        <f>R355</f>
        <v>0</v>
      </c>
      <c r="S354" s="54">
        <f t="shared" si="130"/>
        <v>0</v>
      </c>
      <c r="T354" s="31">
        <f t="shared" si="130"/>
        <v>0</v>
      </c>
      <c r="U354" s="31">
        <f t="shared" si="130"/>
        <v>0</v>
      </c>
      <c r="V354" s="54">
        <f t="shared" si="130"/>
        <v>0</v>
      </c>
      <c r="W354" s="48">
        <f t="shared" si="130"/>
        <v>0</v>
      </c>
      <c r="X354" s="99">
        <f t="shared" si="130"/>
        <v>0</v>
      </c>
      <c r="Y354" s="64">
        <f t="shared" si="129"/>
        <v>0</v>
      </c>
      <c r="Z354" s="28">
        <f t="shared" si="123"/>
        <v>0</v>
      </c>
    </row>
    <row r="355" spans="1:26" s="4" customFormat="1" ht="16.5" customHeight="1" hidden="1">
      <c r="A355" s="208" t="s">
        <v>381</v>
      </c>
      <c r="B355" s="209"/>
      <c r="C355" s="209"/>
      <c r="D355" s="209"/>
      <c r="E355" s="209"/>
      <c r="F355" s="210"/>
      <c r="G355" s="175" t="s">
        <v>62</v>
      </c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  <c r="R355" s="49">
        <f>SUM(S355:V355)</f>
        <v>0</v>
      </c>
      <c r="S355" s="82"/>
      <c r="T355" s="83"/>
      <c r="U355" s="83"/>
      <c r="V355" s="82"/>
      <c r="W355" s="84">
        <v>0</v>
      </c>
      <c r="X355" s="100">
        <v>0</v>
      </c>
      <c r="Y355" s="64">
        <f t="shared" si="129"/>
        <v>0</v>
      </c>
      <c r="Z355" s="28">
        <f t="shared" si="123"/>
        <v>0</v>
      </c>
    </row>
    <row r="356" spans="1:26" s="3" customFormat="1" ht="16.5" customHeight="1">
      <c r="A356" s="186" t="s">
        <v>399</v>
      </c>
      <c r="B356" s="181"/>
      <c r="C356" s="181"/>
      <c r="D356" s="181"/>
      <c r="E356" s="181"/>
      <c r="F356" s="211"/>
      <c r="G356" s="212" t="s">
        <v>395</v>
      </c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46">
        <f>R357</f>
        <v>79461.12</v>
      </c>
      <c r="S356" s="75">
        <f>S357</f>
        <v>25200</v>
      </c>
      <c r="T356" s="44">
        <f aca="true" t="shared" si="131" ref="T356:X360">T357</f>
        <v>25554</v>
      </c>
      <c r="U356" s="44">
        <f t="shared" si="131"/>
        <v>22000</v>
      </c>
      <c r="V356" s="75">
        <f t="shared" si="131"/>
        <v>6707.12</v>
      </c>
      <c r="W356" s="46">
        <f t="shared" si="131"/>
        <v>0</v>
      </c>
      <c r="X356" s="97">
        <f t="shared" si="131"/>
        <v>0</v>
      </c>
      <c r="Y356" s="64">
        <f t="shared" si="129"/>
        <v>79461.12</v>
      </c>
      <c r="Z356" s="28">
        <f t="shared" si="123"/>
        <v>0</v>
      </c>
    </row>
    <row r="357" spans="1:26" ht="16.5" customHeight="1">
      <c r="A357" s="198" t="s">
        <v>161</v>
      </c>
      <c r="B357" s="199"/>
      <c r="C357" s="199"/>
      <c r="D357" s="199"/>
      <c r="E357" s="199"/>
      <c r="F357" s="200"/>
      <c r="G357" s="204" t="s">
        <v>76</v>
      </c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47">
        <f aca="true" t="shared" si="132" ref="R357:V360">R358</f>
        <v>79461.12</v>
      </c>
      <c r="S357" s="77">
        <f t="shared" si="132"/>
        <v>25200</v>
      </c>
      <c r="T357" s="30">
        <f t="shared" si="132"/>
        <v>25554</v>
      </c>
      <c r="U357" s="30">
        <f t="shared" si="132"/>
        <v>22000</v>
      </c>
      <c r="V357" s="77">
        <f t="shared" si="132"/>
        <v>6707.12</v>
      </c>
      <c r="W357" s="47">
        <f t="shared" si="131"/>
        <v>0</v>
      </c>
      <c r="X357" s="98">
        <f t="shared" si="131"/>
        <v>0</v>
      </c>
      <c r="Y357" s="64">
        <f t="shared" si="129"/>
        <v>79461.12</v>
      </c>
      <c r="Z357" s="28">
        <f t="shared" si="123"/>
        <v>0</v>
      </c>
    </row>
    <row r="358" spans="1:26" ht="16.5" customHeight="1">
      <c r="A358" s="177" t="s">
        <v>400</v>
      </c>
      <c r="B358" s="178"/>
      <c r="C358" s="178"/>
      <c r="D358" s="178"/>
      <c r="E358" s="178"/>
      <c r="F358" s="203"/>
      <c r="G358" s="180" t="s">
        <v>396</v>
      </c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48">
        <f>R359+R362</f>
        <v>79461.12</v>
      </c>
      <c r="S358" s="54">
        <f t="shared" si="132"/>
        <v>25200</v>
      </c>
      <c r="T358" s="31">
        <f t="shared" si="132"/>
        <v>25554</v>
      </c>
      <c r="U358" s="31">
        <f>U359+U362</f>
        <v>22000</v>
      </c>
      <c r="V358" s="54">
        <f t="shared" si="132"/>
        <v>6707.12</v>
      </c>
      <c r="W358" s="48">
        <f t="shared" si="131"/>
        <v>0</v>
      </c>
      <c r="X358" s="99">
        <f t="shared" si="131"/>
        <v>0</v>
      </c>
      <c r="Y358" s="64">
        <f t="shared" si="129"/>
        <v>79461.12</v>
      </c>
      <c r="Z358" s="28">
        <f t="shared" si="123"/>
        <v>0</v>
      </c>
    </row>
    <row r="359" spans="1:26" ht="15" customHeight="1">
      <c r="A359" s="177" t="s">
        <v>401</v>
      </c>
      <c r="B359" s="178"/>
      <c r="C359" s="178"/>
      <c r="D359" s="178"/>
      <c r="E359" s="178"/>
      <c r="F359" s="203"/>
      <c r="G359" s="180" t="s">
        <v>397</v>
      </c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48">
        <f t="shared" si="132"/>
        <v>57461.12</v>
      </c>
      <c r="S359" s="54">
        <f t="shared" si="132"/>
        <v>25200</v>
      </c>
      <c r="T359" s="31">
        <f t="shared" si="132"/>
        <v>25554</v>
      </c>
      <c r="U359" s="31">
        <f t="shared" si="132"/>
        <v>0</v>
      </c>
      <c r="V359" s="54">
        <f t="shared" si="132"/>
        <v>6707.12</v>
      </c>
      <c r="W359" s="48">
        <f t="shared" si="131"/>
        <v>0</v>
      </c>
      <c r="X359" s="99">
        <f t="shared" si="131"/>
        <v>0</v>
      </c>
      <c r="Y359" s="64">
        <f t="shared" si="129"/>
        <v>57461.12</v>
      </c>
      <c r="Z359" s="28">
        <f t="shared" si="123"/>
        <v>0</v>
      </c>
    </row>
    <row r="360" spans="1:26" ht="26.25" customHeight="1">
      <c r="A360" s="177" t="s">
        <v>402</v>
      </c>
      <c r="B360" s="178"/>
      <c r="C360" s="178"/>
      <c r="D360" s="178"/>
      <c r="E360" s="178"/>
      <c r="F360" s="203"/>
      <c r="G360" s="180" t="s">
        <v>398</v>
      </c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48">
        <f t="shared" si="132"/>
        <v>57461.12</v>
      </c>
      <c r="S360" s="54">
        <f t="shared" si="132"/>
        <v>25200</v>
      </c>
      <c r="T360" s="31">
        <f t="shared" si="132"/>
        <v>25554</v>
      </c>
      <c r="U360" s="31">
        <f t="shared" si="132"/>
        <v>0</v>
      </c>
      <c r="V360" s="54">
        <f t="shared" si="132"/>
        <v>6707.12</v>
      </c>
      <c r="W360" s="48">
        <f t="shared" si="131"/>
        <v>0</v>
      </c>
      <c r="X360" s="99">
        <f t="shared" si="131"/>
        <v>0</v>
      </c>
      <c r="Y360" s="64">
        <f t="shared" si="129"/>
        <v>57461.12</v>
      </c>
      <c r="Z360" s="28">
        <f t="shared" si="123"/>
        <v>0</v>
      </c>
    </row>
    <row r="361" spans="1:26" ht="16.5" customHeight="1" hidden="1">
      <c r="A361" s="195" t="s">
        <v>403</v>
      </c>
      <c r="B361" s="196"/>
      <c r="C361" s="196"/>
      <c r="D361" s="196"/>
      <c r="E361" s="196"/>
      <c r="F361" s="197"/>
      <c r="G361" s="175" t="s">
        <v>62</v>
      </c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49">
        <f>SUM(S361:V361)</f>
        <v>57461.12</v>
      </c>
      <c r="S361" s="140">
        <v>25200</v>
      </c>
      <c r="T361" s="32">
        <f>25554</f>
        <v>25554</v>
      </c>
      <c r="U361" s="32">
        <v>0</v>
      </c>
      <c r="V361" s="78">
        <f>6707.12</f>
        <v>6707.12</v>
      </c>
      <c r="W361" s="49">
        <v>0</v>
      </c>
      <c r="X361" s="101">
        <v>0</v>
      </c>
      <c r="Y361" s="64">
        <f t="shared" si="129"/>
        <v>57461.12</v>
      </c>
      <c r="Z361" s="28">
        <f t="shared" si="123"/>
        <v>0</v>
      </c>
    </row>
    <row r="362" spans="1:26" ht="16.5" customHeight="1" hidden="1">
      <c r="A362" s="195" t="s">
        <v>495</v>
      </c>
      <c r="B362" s="196"/>
      <c r="C362" s="196"/>
      <c r="D362" s="196"/>
      <c r="E362" s="196"/>
      <c r="F362" s="197"/>
      <c r="G362" s="175" t="s">
        <v>496</v>
      </c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49">
        <f>SUM(S362:V362)</f>
        <v>22000</v>
      </c>
      <c r="S362" s="140">
        <v>0</v>
      </c>
      <c r="T362" s="32">
        <v>0</v>
      </c>
      <c r="U362" s="32">
        <v>22000</v>
      </c>
      <c r="V362" s="78">
        <v>0</v>
      </c>
      <c r="W362" s="49">
        <v>0</v>
      </c>
      <c r="X362" s="101">
        <v>0</v>
      </c>
      <c r="Y362" s="64">
        <f>SUM(S362:V362)</f>
        <v>22000</v>
      </c>
      <c r="Z362" s="28">
        <f>R362-S362-T362-U362-V362</f>
        <v>0</v>
      </c>
    </row>
    <row r="363" spans="1:26" s="4" customFormat="1" ht="16.5" customHeight="1">
      <c r="A363" s="201" t="s">
        <v>148</v>
      </c>
      <c r="B363" s="202"/>
      <c r="C363" s="202"/>
      <c r="D363" s="202"/>
      <c r="E363" s="202"/>
      <c r="F363" s="185"/>
      <c r="G363" s="182" t="s">
        <v>57</v>
      </c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34">
        <f>R364+R372</f>
        <v>3233822.4</v>
      </c>
      <c r="S363" s="146">
        <f aca="true" t="shared" si="133" ref="S363:X363">S364+S372</f>
        <v>1077000</v>
      </c>
      <c r="T363" s="147">
        <f t="shared" si="133"/>
        <v>1195100</v>
      </c>
      <c r="U363" s="147">
        <f t="shared" si="133"/>
        <v>377100</v>
      </c>
      <c r="V363" s="146">
        <f t="shared" si="133"/>
        <v>584622.4</v>
      </c>
      <c r="W363" s="34">
        <f t="shared" si="133"/>
        <v>2400700</v>
      </c>
      <c r="X363" s="96">
        <f t="shared" si="133"/>
        <v>2458000</v>
      </c>
      <c r="Y363" s="64">
        <f aca="true" t="shared" si="134" ref="Y363:Y387">SUM(S363:V363)</f>
        <v>3233822.4</v>
      </c>
      <c r="Z363" s="28">
        <f t="shared" si="123"/>
        <v>0</v>
      </c>
    </row>
    <row r="364" spans="1:26" s="43" customFormat="1" ht="16.5" customHeight="1">
      <c r="A364" s="186" t="s">
        <v>149</v>
      </c>
      <c r="B364" s="181"/>
      <c r="C364" s="181"/>
      <c r="D364" s="181"/>
      <c r="E364" s="181"/>
      <c r="F364" s="41"/>
      <c r="G364" s="184" t="s">
        <v>87</v>
      </c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46">
        <f>R365</f>
        <v>3213822.4</v>
      </c>
      <c r="S364" s="75">
        <f aca="true" t="shared" si="135" ref="S364:X370">S365</f>
        <v>1074000</v>
      </c>
      <c r="T364" s="44">
        <f t="shared" si="135"/>
        <v>1192100</v>
      </c>
      <c r="U364" s="44">
        <f t="shared" si="135"/>
        <v>371100</v>
      </c>
      <c r="V364" s="75">
        <f t="shared" si="135"/>
        <v>576622.4</v>
      </c>
      <c r="W364" s="46">
        <f t="shared" si="135"/>
        <v>2390700</v>
      </c>
      <c r="X364" s="97">
        <f t="shared" si="135"/>
        <v>2448000</v>
      </c>
      <c r="Y364" s="64">
        <f t="shared" si="134"/>
        <v>3213822.4</v>
      </c>
      <c r="Z364" s="28">
        <f t="shared" si="123"/>
        <v>0</v>
      </c>
    </row>
    <row r="365" spans="1:26" s="3" customFormat="1" ht="16.5" customHeight="1">
      <c r="A365" s="198" t="s">
        <v>150</v>
      </c>
      <c r="B365" s="199"/>
      <c r="C365" s="199"/>
      <c r="D365" s="199"/>
      <c r="E365" s="199"/>
      <c r="F365" s="200"/>
      <c r="G365" s="220" t="s">
        <v>56</v>
      </c>
      <c r="H365" s="221"/>
      <c r="I365" s="221"/>
      <c r="J365" s="221"/>
      <c r="K365" s="221"/>
      <c r="L365" s="221"/>
      <c r="M365" s="221"/>
      <c r="N365" s="221"/>
      <c r="O365" s="221"/>
      <c r="P365" s="221"/>
      <c r="Q365" s="221"/>
      <c r="R365" s="47">
        <f>R366</f>
        <v>3213822.4</v>
      </c>
      <c r="S365" s="77">
        <f t="shared" si="135"/>
        <v>1074000</v>
      </c>
      <c r="T365" s="30">
        <f t="shared" si="135"/>
        <v>1192100</v>
      </c>
      <c r="U365" s="30">
        <f t="shared" si="135"/>
        <v>371100</v>
      </c>
      <c r="V365" s="77">
        <f t="shared" si="135"/>
        <v>576622.4</v>
      </c>
      <c r="W365" s="47">
        <f t="shared" si="135"/>
        <v>2390700</v>
      </c>
      <c r="X365" s="98">
        <f t="shared" si="135"/>
        <v>2448000</v>
      </c>
      <c r="Y365" s="64">
        <f t="shared" si="134"/>
        <v>3213822.4</v>
      </c>
      <c r="Z365" s="28">
        <f t="shared" si="123"/>
        <v>0</v>
      </c>
    </row>
    <row r="366" spans="1:26" ht="35.25" customHeight="1">
      <c r="A366" s="192" t="s">
        <v>369</v>
      </c>
      <c r="B366" s="193"/>
      <c r="C366" s="193"/>
      <c r="D366" s="193"/>
      <c r="E366" s="193"/>
      <c r="F366" s="194"/>
      <c r="G366" s="216" t="s">
        <v>362</v>
      </c>
      <c r="H366" s="217"/>
      <c r="I366" s="217"/>
      <c r="J366" s="217"/>
      <c r="K366" s="217"/>
      <c r="L366" s="217"/>
      <c r="M366" s="217"/>
      <c r="N366" s="217"/>
      <c r="O366" s="217"/>
      <c r="P366" s="217"/>
      <c r="Q366" s="217"/>
      <c r="R366" s="48">
        <f>R367</f>
        <v>3213822.4</v>
      </c>
      <c r="S366" s="54">
        <f t="shared" si="135"/>
        <v>1074000</v>
      </c>
      <c r="T366" s="31">
        <f>T367</f>
        <v>1192100</v>
      </c>
      <c r="U366" s="31">
        <f t="shared" si="135"/>
        <v>371100</v>
      </c>
      <c r="V366" s="54">
        <f t="shared" si="135"/>
        <v>576622.4</v>
      </c>
      <c r="W366" s="48">
        <f t="shared" si="135"/>
        <v>2390700</v>
      </c>
      <c r="X366" s="99">
        <f t="shared" si="135"/>
        <v>2448000</v>
      </c>
      <c r="Y366" s="64">
        <f t="shared" si="134"/>
        <v>3213822.4</v>
      </c>
      <c r="Z366" s="28">
        <f t="shared" si="123"/>
        <v>0</v>
      </c>
    </row>
    <row r="367" spans="1:26" ht="12.75">
      <c r="A367" s="192" t="s">
        <v>370</v>
      </c>
      <c r="B367" s="193"/>
      <c r="C367" s="193"/>
      <c r="D367" s="193"/>
      <c r="E367" s="193"/>
      <c r="F367" s="194"/>
      <c r="G367" s="216" t="s">
        <v>363</v>
      </c>
      <c r="H367" s="217"/>
      <c r="I367" s="217"/>
      <c r="J367" s="217"/>
      <c r="K367" s="217"/>
      <c r="L367" s="217"/>
      <c r="M367" s="217"/>
      <c r="N367" s="217"/>
      <c r="O367" s="217"/>
      <c r="P367" s="217"/>
      <c r="Q367" s="217"/>
      <c r="R367" s="48">
        <f aca="true" t="shared" si="136" ref="R367:X367">R368+R370</f>
        <v>3213822.4</v>
      </c>
      <c r="S367" s="54">
        <f t="shared" si="136"/>
        <v>1074000</v>
      </c>
      <c r="T367" s="31">
        <f t="shared" si="136"/>
        <v>1192100</v>
      </c>
      <c r="U367" s="31">
        <f t="shared" si="136"/>
        <v>371100</v>
      </c>
      <c r="V367" s="54">
        <f t="shared" si="136"/>
        <v>576622.4</v>
      </c>
      <c r="W367" s="48">
        <f t="shared" si="136"/>
        <v>2390700</v>
      </c>
      <c r="X367" s="99">
        <f t="shared" si="136"/>
        <v>2448000</v>
      </c>
      <c r="Y367" s="64">
        <f t="shared" si="134"/>
        <v>3213822.4</v>
      </c>
      <c r="Z367" s="28">
        <f t="shared" si="123"/>
        <v>0</v>
      </c>
    </row>
    <row r="368" spans="1:26" ht="35.25" customHeight="1">
      <c r="A368" s="192" t="s">
        <v>371</v>
      </c>
      <c r="B368" s="193"/>
      <c r="C368" s="193"/>
      <c r="D368" s="193"/>
      <c r="E368" s="193"/>
      <c r="F368" s="194"/>
      <c r="G368" s="216" t="s">
        <v>364</v>
      </c>
      <c r="H368" s="217"/>
      <c r="I368" s="217"/>
      <c r="J368" s="217"/>
      <c r="K368" s="217"/>
      <c r="L368" s="217"/>
      <c r="M368" s="217"/>
      <c r="N368" s="217"/>
      <c r="O368" s="217"/>
      <c r="P368" s="217"/>
      <c r="Q368" s="217"/>
      <c r="R368" s="48">
        <f>R369</f>
        <v>2800699</v>
      </c>
      <c r="S368" s="54">
        <f t="shared" si="135"/>
        <v>745000</v>
      </c>
      <c r="T368" s="31">
        <f t="shared" si="135"/>
        <v>1122100</v>
      </c>
      <c r="U368" s="31">
        <f t="shared" si="135"/>
        <v>371100</v>
      </c>
      <c r="V368" s="54">
        <f t="shared" si="135"/>
        <v>562499</v>
      </c>
      <c r="W368" s="48">
        <f t="shared" si="135"/>
        <v>2390700</v>
      </c>
      <c r="X368" s="99">
        <f t="shared" si="135"/>
        <v>2448000</v>
      </c>
      <c r="Y368" s="64">
        <f t="shared" si="134"/>
        <v>2800699</v>
      </c>
      <c r="Z368" s="28">
        <f t="shared" si="123"/>
        <v>0</v>
      </c>
    </row>
    <row r="369" spans="1:26" ht="24" customHeight="1" hidden="1">
      <c r="A369" s="192" t="s">
        <v>372</v>
      </c>
      <c r="B369" s="193"/>
      <c r="C369" s="193"/>
      <c r="D369" s="193"/>
      <c r="E369" s="193"/>
      <c r="F369" s="194"/>
      <c r="G369" s="216" t="s">
        <v>205</v>
      </c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49">
        <f>SUM(S369:V369)</f>
        <v>2800699</v>
      </c>
      <c r="S369" s="85">
        <f>745000</f>
        <v>745000</v>
      </c>
      <c r="T369" s="86">
        <f>1032200+50000+20000+89900-70000</f>
        <v>1122100</v>
      </c>
      <c r="U369" s="86">
        <f>331000+40100</f>
        <v>371100</v>
      </c>
      <c r="V369" s="85">
        <f>197000+35000+100000+50000+250000-69501</f>
        <v>562499</v>
      </c>
      <c r="W369" s="105">
        <v>2390700</v>
      </c>
      <c r="X369" s="102">
        <v>2448000</v>
      </c>
      <c r="Y369" s="64">
        <f t="shared" si="134"/>
        <v>2800699</v>
      </c>
      <c r="Z369" s="28">
        <f t="shared" si="123"/>
        <v>0</v>
      </c>
    </row>
    <row r="370" spans="1:26" ht="12.75">
      <c r="A370" s="192" t="s">
        <v>394</v>
      </c>
      <c r="B370" s="193"/>
      <c r="C370" s="193"/>
      <c r="D370" s="193"/>
      <c r="E370" s="193"/>
      <c r="F370" s="194"/>
      <c r="G370" s="216" t="s">
        <v>392</v>
      </c>
      <c r="H370" s="217"/>
      <c r="I370" s="217"/>
      <c r="J370" s="217"/>
      <c r="K370" s="217"/>
      <c r="L370" s="217"/>
      <c r="M370" s="217"/>
      <c r="N370" s="217"/>
      <c r="O370" s="217"/>
      <c r="P370" s="217"/>
      <c r="Q370" s="217"/>
      <c r="R370" s="48">
        <f>R371</f>
        <v>413123.4</v>
      </c>
      <c r="S370" s="54">
        <f t="shared" si="135"/>
        <v>329000</v>
      </c>
      <c r="T370" s="31">
        <f t="shared" si="135"/>
        <v>70000</v>
      </c>
      <c r="U370" s="31">
        <f t="shared" si="135"/>
        <v>0</v>
      </c>
      <c r="V370" s="54">
        <f t="shared" si="135"/>
        <v>14123.4</v>
      </c>
      <c r="W370" s="48">
        <f t="shared" si="135"/>
        <v>0</v>
      </c>
      <c r="X370" s="99">
        <f t="shared" si="135"/>
        <v>0</v>
      </c>
      <c r="Y370" s="64">
        <f t="shared" si="134"/>
        <v>413123.4</v>
      </c>
      <c r="Z370" s="28">
        <f t="shared" si="123"/>
        <v>2.3646862246096134E-11</v>
      </c>
    </row>
    <row r="371" spans="1:26" ht="24" customHeight="1" hidden="1">
      <c r="A371" s="192" t="s">
        <v>393</v>
      </c>
      <c r="B371" s="193"/>
      <c r="C371" s="193"/>
      <c r="D371" s="193"/>
      <c r="E371" s="193"/>
      <c r="F371" s="194"/>
      <c r="G371" s="216" t="s">
        <v>205</v>
      </c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49">
        <f>SUM(S371:V371)</f>
        <v>413123.4</v>
      </c>
      <c r="S371" s="85">
        <v>329000</v>
      </c>
      <c r="T371" s="86">
        <v>70000</v>
      </c>
      <c r="U371" s="86">
        <v>0</v>
      </c>
      <c r="V371" s="85">
        <f>14123.4</f>
        <v>14123.4</v>
      </c>
      <c r="W371" s="105">
        <v>0</v>
      </c>
      <c r="X371" s="102">
        <v>0</v>
      </c>
      <c r="Y371" s="64">
        <f t="shared" si="134"/>
        <v>413123.4</v>
      </c>
      <c r="Z371" s="28">
        <f t="shared" si="123"/>
        <v>2.3646862246096134E-11</v>
      </c>
    </row>
    <row r="372" spans="1:26" s="43" customFormat="1" ht="16.5" customHeight="1">
      <c r="A372" s="186" t="s">
        <v>374</v>
      </c>
      <c r="B372" s="181"/>
      <c r="C372" s="181"/>
      <c r="D372" s="181"/>
      <c r="E372" s="181"/>
      <c r="F372" s="41"/>
      <c r="G372" s="184" t="s">
        <v>375</v>
      </c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46">
        <f>R373</f>
        <v>20000</v>
      </c>
      <c r="S372" s="75">
        <f aca="true" t="shared" si="137" ref="S372:X372">S373</f>
        <v>3000</v>
      </c>
      <c r="T372" s="44">
        <f t="shared" si="137"/>
        <v>3000</v>
      </c>
      <c r="U372" s="44">
        <f t="shared" si="137"/>
        <v>6000</v>
      </c>
      <c r="V372" s="75">
        <f t="shared" si="137"/>
        <v>8000</v>
      </c>
      <c r="W372" s="46">
        <f t="shared" si="137"/>
        <v>10000</v>
      </c>
      <c r="X372" s="97">
        <f t="shared" si="137"/>
        <v>10000</v>
      </c>
      <c r="Y372" s="64">
        <f t="shared" si="134"/>
        <v>20000</v>
      </c>
      <c r="Z372" s="28">
        <f t="shared" si="123"/>
        <v>0</v>
      </c>
    </row>
    <row r="373" spans="1:26" s="3" customFormat="1" ht="21" customHeight="1">
      <c r="A373" s="198" t="s">
        <v>151</v>
      </c>
      <c r="B373" s="199"/>
      <c r="C373" s="199"/>
      <c r="D373" s="199"/>
      <c r="E373" s="199"/>
      <c r="F373" s="200"/>
      <c r="G373" s="220" t="s">
        <v>58</v>
      </c>
      <c r="H373" s="221"/>
      <c r="I373" s="221"/>
      <c r="J373" s="221"/>
      <c r="K373" s="221"/>
      <c r="L373" s="221"/>
      <c r="M373" s="221"/>
      <c r="N373" s="221"/>
      <c r="O373" s="221"/>
      <c r="P373" s="221"/>
      <c r="Q373" s="221"/>
      <c r="R373" s="47">
        <f aca="true" t="shared" si="138" ref="R373:X376">R374</f>
        <v>20000</v>
      </c>
      <c r="S373" s="77">
        <f t="shared" si="138"/>
        <v>3000</v>
      </c>
      <c r="T373" s="30">
        <f t="shared" si="138"/>
        <v>3000</v>
      </c>
      <c r="U373" s="30">
        <f t="shared" si="138"/>
        <v>6000</v>
      </c>
      <c r="V373" s="77">
        <f t="shared" si="138"/>
        <v>8000</v>
      </c>
      <c r="W373" s="47">
        <f t="shared" si="138"/>
        <v>10000</v>
      </c>
      <c r="X373" s="98">
        <f t="shared" si="138"/>
        <v>10000</v>
      </c>
      <c r="Y373" s="64">
        <f t="shared" si="134"/>
        <v>20000</v>
      </c>
      <c r="Z373" s="28">
        <f t="shared" si="123"/>
        <v>0</v>
      </c>
    </row>
    <row r="374" spans="1:26" ht="26.25" customHeight="1">
      <c r="A374" s="192" t="s">
        <v>376</v>
      </c>
      <c r="B374" s="193"/>
      <c r="C374" s="193"/>
      <c r="D374" s="193"/>
      <c r="E374" s="193"/>
      <c r="F374" s="194"/>
      <c r="G374" s="216" t="s">
        <v>362</v>
      </c>
      <c r="H374" s="217"/>
      <c r="I374" s="217"/>
      <c r="J374" s="217"/>
      <c r="K374" s="217"/>
      <c r="L374" s="217"/>
      <c r="M374" s="217"/>
      <c r="N374" s="217"/>
      <c r="O374" s="217"/>
      <c r="P374" s="217"/>
      <c r="Q374" s="217"/>
      <c r="R374" s="48">
        <f>R375</f>
        <v>20000</v>
      </c>
      <c r="S374" s="54">
        <f t="shared" si="138"/>
        <v>3000</v>
      </c>
      <c r="T374" s="31">
        <f t="shared" si="138"/>
        <v>3000</v>
      </c>
      <c r="U374" s="31">
        <f t="shared" si="138"/>
        <v>6000</v>
      </c>
      <c r="V374" s="54">
        <f t="shared" si="138"/>
        <v>8000</v>
      </c>
      <c r="W374" s="48">
        <f t="shared" si="138"/>
        <v>10000</v>
      </c>
      <c r="X374" s="99">
        <f t="shared" si="138"/>
        <v>10000</v>
      </c>
      <c r="Y374" s="64">
        <f t="shared" si="134"/>
        <v>20000</v>
      </c>
      <c r="Z374" s="28">
        <f t="shared" si="123"/>
        <v>0</v>
      </c>
    </row>
    <row r="375" spans="1:26" ht="12.75">
      <c r="A375" s="192" t="s">
        <v>377</v>
      </c>
      <c r="B375" s="193"/>
      <c r="C375" s="193"/>
      <c r="D375" s="193"/>
      <c r="E375" s="193"/>
      <c r="F375" s="194"/>
      <c r="G375" s="216" t="s">
        <v>363</v>
      </c>
      <c r="H375" s="217"/>
      <c r="I375" s="217"/>
      <c r="J375" s="217"/>
      <c r="K375" s="217"/>
      <c r="L375" s="217"/>
      <c r="M375" s="217"/>
      <c r="N375" s="217"/>
      <c r="O375" s="217"/>
      <c r="P375" s="217"/>
      <c r="Q375" s="217"/>
      <c r="R375" s="48">
        <f>R376</f>
        <v>20000</v>
      </c>
      <c r="S375" s="54">
        <f t="shared" si="138"/>
        <v>3000</v>
      </c>
      <c r="T375" s="31">
        <f t="shared" si="138"/>
        <v>3000</v>
      </c>
      <c r="U375" s="31">
        <f t="shared" si="138"/>
        <v>6000</v>
      </c>
      <c r="V375" s="54">
        <f t="shared" si="138"/>
        <v>8000</v>
      </c>
      <c r="W375" s="48">
        <f t="shared" si="138"/>
        <v>10000</v>
      </c>
      <c r="X375" s="99">
        <f t="shared" si="138"/>
        <v>10000</v>
      </c>
      <c r="Y375" s="64">
        <f t="shared" si="134"/>
        <v>20000</v>
      </c>
      <c r="Z375" s="28">
        <f t="shared" si="123"/>
        <v>0</v>
      </c>
    </row>
    <row r="376" spans="1:26" ht="35.25" customHeight="1">
      <c r="A376" s="192" t="s">
        <v>378</v>
      </c>
      <c r="B376" s="193"/>
      <c r="C376" s="193"/>
      <c r="D376" s="193"/>
      <c r="E376" s="193"/>
      <c r="F376" s="194"/>
      <c r="G376" s="216" t="s">
        <v>364</v>
      </c>
      <c r="H376" s="217"/>
      <c r="I376" s="217"/>
      <c r="J376" s="217"/>
      <c r="K376" s="217"/>
      <c r="L376" s="217"/>
      <c r="M376" s="217"/>
      <c r="N376" s="217"/>
      <c r="O376" s="217"/>
      <c r="P376" s="217"/>
      <c r="Q376" s="217"/>
      <c r="R376" s="48">
        <f>R377</f>
        <v>20000</v>
      </c>
      <c r="S376" s="54">
        <f t="shared" si="138"/>
        <v>3000</v>
      </c>
      <c r="T376" s="31">
        <f t="shared" si="138"/>
        <v>3000</v>
      </c>
      <c r="U376" s="31">
        <f t="shared" si="138"/>
        <v>6000</v>
      </c>
      <c r="V376" s="54">
        <f t="shared" si="138"/>
        <v>8000</v>
      </c>
      <c r="W376" s="48">
        <f t="shared" si="138"/>
        <v>10000</v>
      </c>
      <c r="X376" s="99">
        <f t="shared" si="138"/>
        <v>10000</v>
      </c>
      <c r="Y376" s="64">
        <f t="shared" si="134"/>
        <v>20000</v>
      </c>
      <c r="Z376" s="28">
        <f t="shared" si="123"/>
        <v>0</v>
      </c>
    </row>
    <row r="377" spans="1:26" ht="24" customHeight="1" hidden="1">
      <c r="A377" s="192" t="s">
        <v>379</v>
      </c>
      <c r="B377" s="193"/>
      <c r="C377" s="193"/>
      <c r="D377" s="193"/>
      <c r="E377" s="193"/>
      <c r="F377" s="194"/>
      <c r="G377" s="216" t="s">
        <v>205</v>
      </c>
      <c r="H377" s="217"/>
      <c r="I377" s="217"/>
      <c r="J377" s="217"/>
      <c r="K377" s="217"/>
      <c r="L377" s="217"/>
      <c r="M377" s="217"/>
      <c r="N377" s="217"/>
      <c r="O377" s="217"/>
      <c r="P377" s="217"/>
      <c r="Q377" s="217"/>
      <c r="R377" s="49">
        <f>SUM(S377:V377)</f>
        <v>20000</v>
      </c>
      <c r="S377" s="78">
        <f>3000</f>
        <v>3000</v>
      </c>
      <c r="T377" s="32">
        <f>3000</f>
        <v>3000</v>
      </c>
      <c r="U377" s="32">
        <f>1000+5000</f>
        <v>6000</v>
      </c>
      <c r="V377" s="78">
        <f>3000+5000</f>
        <v>8000</v>
      </c>
      <c r="W377" s="49">
        <v>10000</v>
      </c>
      <c r="X377" s="101">
        <v>10000</v>
      </c>
      <c r="Y377" s="64">
        <f t="shared" si="134"/>
        <v>20000</v>
      </c>
      <c r="Z377" s="28">
        <f t="shared" si="123"/>
        <v>0</v>
      </c>
    </row>
    <row r="378" spans="1:26" s="4" customFormat="1" ht="24.75" customHeight="1">
      <c r="A378" s="201" t="s">
        <v>434</v>
      </c>
      <c r="B378" s="202"/>
      <c r="C378" s="202"/>
      <c r="D378" s="202"/>
      <c r="E378" s="202"/>
      <c r="F378" s="185"/>
      <c r="G378" s="214" t="s">
        <v>435</v>
      </c>
      <c r="H378" s="215"/>
      <c r="I378" s="215"/>
      <c r="J378" s="215"/>
      <c r="K378" s="215"/>
      <c r="L378" s="215"/>
      <c r="M378" s="215"/>
      <c r="N378" s="215"/>
      <c r="O378" s="215"/>
      <c r="P378" s="215"/>
      <c r="Q378" s="215"/>
      <c r="R378" s="34">
        <f>R382+R379</f>
        <v>570899.12</v>
      </c>
      <c r="S378" s="53">
        <f aca="true" t="shared" si="139" ref="S378:X378">S382+S379</f>
        <v>0</v>
      </c>
      <c r="T378" s="29">
        <f t="shared" si="139"/>
        <v>540310.12</v>
      </c>
      <c r="U378" s="29">
        <f t="shared" si="139"/>
        <v>0</v>
      </c>
      <c r="V378" s="53">
        <f t="shared" si="139"/>
        <v>30589</v>
      </c>
      <c r="W378" s="34">
        <f t="shared" si="139"/>
        <v>0</v>
      </c>
      <c r="X378" s="96">
        <f t="shared" si="139"/>
        <v>0</v>
      </c>
      <c r="Y378" s="64">
        <f t="shared" si="134"/>
        <v>570899.12</v>
      </c>
      <c r="Z378" s="28">
        <f t="shared" si="123"/>
        <v>0</v>
      </c>
    </row>
    <row r="379" spans="1:26" s="4" customFormat="1" ht="16.5" customHeight="1" hidden="1">
      <c r="A379" s="198" t="s">
        <v>142</v>
      </c>
      <c r="B379" s="199"/>
      <c r="C379" s="199"/>
      <c r="D379" s="199"/>
      <c r="E379" s="199"/>
      <c r="F379" s="200"/>
      <c r="G379" s="218" t="s">
        <v>60</v>
      </c>
      <c r="H379" s="219"/>
      <c r="I379" s="219"/>
      <c r="J379" s="219"/>
      <c r="K379" s="219"/>
      <c r="L379" s="219"/>
      <c r="M379" s="219"/>
      <c r="N379" s="219"/>
      <c r="O379" s="219"/>
      <c r="P379" s="219"/>
      <c r="Q379" s="219"/>
      <c r="R379" s="47">
        <f>R380</f>
        <v>0</v>
      </c>
      <c r="S379" s="77">
        <f aca="true" t="shared" si="140" ref="S379:X380">S380</f>
        <v>0</v>
      </c>
      <c r="T379" s="30">
        <f t="shared" si="140"/>
        <v>0</v>
      </c>
      <c r="U379" s="30">
        <f t="shared" si="140"/>
        <v>0</v>
      </c>
      <c r="V379" s="77">
        <f t="shared" si="140"/>
        <v>0</v>
      </c>
      <c r="W379" s="47">
        <f t="shared" si="140"/>
        <v>0</v>
      </c>
      <c r="X379" s="98">
        <f t="shared" si="140"/>
        <v>0</v>
      </c>
      <c r="Y379" s="64">
        <f t="shared" si="134"/>
        <v>0</v>
      </c>
      <c r="Z379" s="28">
        <f t="shared" si="123"/>
        <v>0</v>
      </c>
    </row>
    <row r="380" spans="1:26" s="4" customFormat="1" ht="16.5" customHeight="1" hidden="1">
      <c r="A380" s="192" t="s">
        <v>380</v>
      </c>
      <c r="B380" s="193"/>
      <c r="C380" s="193"/>
      <c r="D380" s="193"/>
      <c r="E380" s="193"/>
      <c r="F380" s="194"/>
      <c r="G380" s="206" t="s">
        <v>61</v>
      </c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48">
        <f>R381</f>
        <v>0</v>
      </c>
      <c r="S380" s="54">
        <f t="shared" si="140"/>
        <v>0</v>
      </c>
      <c r="T380" s="31">
        <f t="shared" si="140"/>
        <v>0</v>
      </c>
      <c r="U380" s="31">
        <f t="shared" si="140"/>
        <v>0</v>
      </c>
      <c r="V380" s="54">
        <f t="shared" si="140"/>
        <v>0</v>
      </c>
      <c r="W380" s="48">
        <f t="shared" si="140"/>
        <v>0</v>
      </c>
      <c r="X380" s="99">
        <f t="shared" si="140"/>
        <v>0</v>
      </c>
      <c r="Y380" s="64">
        <f t="shared" si="134"/>
        <v>0</v>
      </c>
      <c r="Z380" s="28">
        <f t="shared" si="123"/>
        <v>0</v>
      </c>
    </row>
    <row r="381" spans="1:26" s="4" customFormat="1" ht="16.5" customHeight="1" hidden="1">
      <c r="A381" s="208" t="s">
        <v>381</v>
      </c>
      <c r="B381" s="209"/>
      <c r="C381" s="209"/>
      <c r="D381" s="209"/>
      <c r="E381" s="209"/>
      <c r="F381" s="210"/>
      <c r="G381" s="175" t="s">
        <v>62</v>
      </c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49">
        <f>SUM(S381:V381)</f>
        <v>0</v>
      </c>
      <c r="S381" s="82"/>
      <c r="T381" s="83"/>
      <c r="U381" s="83"/>
      <c r="V381" s="82"/>
      <c r="W381" s="84">
        <v>0</v>
      </c>
      <c r="X381" s="100">
        <v>0</v>
      </c>
      <c r="Y381" s="64">
        <f t="shared" si="134"/>
        <v>0</v>
      </c>
      <c r="Z381" s="28">
        <f t="shared" si="123"/>
        <v>0</v>
      </c>
    </row>
    <row r="382" spans="1:26" s="3" customFormat="1" ht="27" customHeight="1">
      <c r="A382" s="186" t="s">
        <v>436</v>
      </c>
      <c r="B382" s="181"/>
      <c r="C382" s="181"/>
      <c r="D382" s="181"/>
      <c r="E382" s="181"/>
      <c r="F382" s="211"/>
      <c r="G382" s="212" t="s">
        <v>437</v>
      </c>
      <c r="H382" s="213"/>
      <c r="I382" s="213"/>
      <c r="J382" s="213"/>
      <c r="K382" s="213"/>
      <c r="L382" s="213"/>
      <c r="M382" s="213"/>
      <c r="N382" s="213"/>
      <c r="O382" s="213"/>
      <c r="P382" s="213"/>
      <c r="Q382" s="213"/>
      <c r="R382" s="46">
        <f aca="true" t="shared" si="141" ref="R382:X382">R384</f>
        <v>570899.12</v>
      </c>
      <c r="S382" s="75">
        <f t="shared" si="141"/>
        <v>0</v>
      </c>
      <c r="T382" s="44">
        <f t="shared" si="141"/>
        <v>540310.12</v>
      </c>
      <c r="U382" s="44">
        <f t="shared" si="141"/>
        <v>0</v>
      </c>
      <c r="V382" s="75">
        <f t="shared" si="141"/>
        <v>30589</v>
      </c>
      <c r="W382" s="46">
        <f t="shared" si="141"/>
        <v>0</v>
      </c>
      <c r="X382" s="97">
        <f t="shared" si="141"/>
        <v>0</v>
      </c>
      <c r="Y382" s="64">
        <f t="shared" si="134"/>
        <v>570899.12</v>
      </c>
      <c r="Z382" s="28">
        <f t="shared" si="123"/>
        <v>0</v>
      </c>
    </row>
    <row r="383" spans="1:26" ht="16.5" customHeight="1">
      <c r="A383" s="198" t="s">
        <v>438</v>
      </c>
      <c r="B383" s="199"/>
      <c r="C383" s="199"/>
      <c r="D383" s="199"/>
      <c r="E383" s="199"/>
      <c r="F383" s="200"/>
      <c r="G383" s="204" t="s">
        <v>439</v>
      </c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47">
        <f aca="true" t="shared" si="142" ref="R383:X385">R384</f>
        <v>570899.12</v>
      </c>
      <c r="S383" s="77">
        <f t="shared" si="142"/>
        <v>0</v>
      </c>
      <c r="T383" s="30">
        <f t="shared" si="142"/>
        <v>540310.12</v>
      </c>
      <c r="U383" s="30">
        <f t="shared" si="142"/>
        <v>0</v>
      </c>
      <c r="V383" s="77">
        <f t="shared" si="142"/>
        <v>30589</v>
      </c>
      <c r="W383" s="47">
        <f t="shared" si="142"/>
        <v>0</v>
      </c>
      <c r="X383" s="98">
        <f t="shared" si="142"/>
        <v>0</v>
      </c>
      <c r="Y383" s="64">
        <f>SUM(S383:V383)</f>
        <v>570899.12</v>
      </c>
      <c r="Z383" s="28">
        <f>R383-S383-T383-U383-V383</f>
        <v>0</v>
      </c>
    </row>
    <row r="384" spans="1:26" ht="15.75" customHeight="1">
      <c r="A384" s="192" t="s">
        <v>446</v>
      </c>
      <c r="B384" s="193"/>
      <c r="C384" s="193"/>
      <c r="D384" s="193"/>
      <c r="E384" s="193"/>
      <c r="F384" s="194"/>
      <c r="G384" s="180" t="s">
        <v>445</v>
      </c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48">
        <f t="shared" si="142"/>
        <v>570899.12</v>
      </c>
      <c r="S384" s="54">
        <f t="shared" si="142"/>
        <v>0</v>
      </c>
      <c r="T384" s="31">
        <f t="shared" si="142"/>
        <v>540310.12</v>
      </c>
      <c r="U384" s="31">
        <f t="shared" si="142"/>
        <v>0</v>
      </c>
      <c r="V384" s="54">
        <f t="shared" si="142"/>
        <v>30589</v>
      </c>
      <c r="W384" s="48">
        <f t="shared" si="142"/>
        <v>0</v>
      </c>
      <c r="X384" s="99">
        <f t="shared" si="142"/>
        <v>0</v>
      </c>
      <c r="Y384" s="64">
        <f t="shared" si="134"/>
        <v>570899.12</v>
      </c>
      <c r="Z384" s="80">
        <f t="shared" si="123"/>
        <v>0</v>
      </c>
    </row>
    <row r="385" spans="1:26" ht="16.5" customHeight="1" thickBot="1">
      <c r="A385" s="177" t="s">
        <v>440</v>
      </c>
      <c r="B385" s="178"/>
      <c r="C385" s="178"/>
      <c r="D385" s="178"/>
      <c r="E385" s="178"/>
      <c r="F385" s="203"/>
      <c r="G385" s="180" t="s">
        <v>441</v>
      </c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48">
        <f>R386</f>
        <v>570899.12</v>
      </c>
      <c r="S385" s="54">
        <f t="shared" si="142"/>
        <v>0</v>
      </c>
      <c r="T385" s="31">
        <f t="shared" si="142"/>
        <v>540310.12</v>
      </c>
      <c r="U385" s="31">
        <f t="shared" si="142"/>
        <v>0</v>
      </c>
      <c r="V385" s="54">
        <f t="shared" si="142"/>
        <v>30589</v>
      </c>
      <c r="W385" s="48">
        <f t="shared" si="142"/>
        <v>0</v>
      </c>
      <c r="X385" s="99">
        <f t="shared" si="142"/>
        <v>0</v>
      </c>
      <c r="Y385" s="64">
        <f t="shared" si="134"/>
        <v>570899.12</v>
      </c>
      <c r="Z385" s="28">
        <f t="shared" si="123"/>
        <v>0</v>
      </c>
    </row>
    <row r="386" spans="1:26" ht="21" customHeight="1" hidden="1" thickBot="1">
      <c r="A386" s="195" t="s">
        <v>442</v>
      </c>
      <c r="B386" s="196"/>
      <c r="C386" s="196"/>
      <c r="D386" s="196"/>
      <c r="E386" s="196"/>
      <c r="F386" s="197"/>
      <c r="G386" s="175" t="s">
        <v>444</v>
      </c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49">
        <f>SUM(S386:V386)</f>
        <v>570899.12</v>
      </c>
      <c r="S386" s="50">
        <v>0</v>
      </c>
      <c r="T386" s="33">
        <f>157806+5240+436310-4000-6510+4000-52535.88</f>
        <v>540310.12</v>
      </c>
      <c r="U386" s="33">
        <v>0</v>
      </c>
      <c r="V386" s="145">
        <f>30589</f>
        <v>30589</v>
      </c>
      <c r="W386" s="49">
        <v>0</v>
      </c>
      <c r="X386" s="101">
        <v>0</v>
      </c>
      <c r="Y386" s="64">
        <f t="shared" si="134"/>
        <v>570899.12</v>
      </c>
      <c r="Z386" s="28">
        <f t="shared" si="123"/>
        <v>0</v>
      </c>
    </row>
    <row r="387" spans="1:26" ht="18.75" customHeight="1" thickBot="1">
      <c r="A387" s="315" t="s">
        <v>63</v>
      </c>
      <c r="B387" s="316"/>
      <c r="C387" s="316"/>
      <c r="D387" s="316"/>
      <c r="E387" s="316"/>
      <c r="F387" s="316"/>
      <c r="G387" s="316"/>
      <c r="H387" s="316"/>
      <c r="I387" s="316"/>
      <c r="J387" s="316"/>
      <c r="K387" s="316"/>
      <c r="L387" s="316"/>
      <c r="M387" s="316"/>
      <c r="N387" s="316"/>
      <c r="O387" s="316"/>
      <c r="P387" s="316"/>
      <c r="Q387" s="316"/>
      <c r="R387" s="74">
        <f>R17+R25+R57+R63+R90+R114+R122+R140+R151+R176+R206+R217+R224+R262+R268+R324+R336+R352+R363+R378+R110</f>
        <v>30784938.490000006</v>
      </c>
      <c r="S387" s="74">
        <f aca="true" t="shared" si="143" ref="S387:X387">S17+S25+S57+S63+S90+S114+S122+S140+S151+S176+S206+S217+S224+S262+S268+S324+S336+S352+S363+S378+S110</f>
        <v>7294471.28</v>
      </c>
      <c r="T387" s="74">
        <f t="shared" si="143"/>
        <v>10219863.249999998</v>
      </c>
      <c r="U387" s="74">
        <f t="shared" si="143"/>
        <v>6996338.46</v>
      </c>
      <c r="V387" s="171">
        <f t="shared" si="143"/>
        <v>6123632.89</v>
      </c>
      <c r="W387" s="74">
        <f t="shared" si="143"/>
        <v>21645392</v>
      </c>
      <c r="X387" s="172">
        <f t="shared" si="143"/>
        <v>22709692</v>
      </c>
      <c r="Y387" s="28">
        <f t="shared" si="134"/>
        <v>30634305.88</v>
      </c>
      <c r="Z387" s="28">
        <f t="shared" si="123"/>
        <v>150632.61000000685</v>
      </c>
    </row>
    <row r="388" spans="1:25" ht="9.75" customHeight="1" hidden="1">
      <c r="A388" s="317"/>
      <c r="B388" s="317"/>
      <c r="C388" s="317"/>
      <c r="D388" s="317"/>
      <c r="E388" s="317"/>
      <c r="F388" s="317"/>
      <c r="G388" s="317"/>
      <c r="H388" s="317"/>
      <c r="I388" s="317"/>
      <c r="J388" s="317"/>
      <c r="K388" s="317"/>
      <c r="L388" s="317"/>
      <c r="M388" s="317"/>
      <c r="N388" s="317"/>
      <c r="O388" s="317"/>
      <c r="P388" s="317"/>
      <c r="Q388" s="317"/>
      <c r="R388" s="317"/>
      <c r="S388" s="317"/>
      <c r="T388" s="317"/>
      <c r="U388" s="317"/>
      <c r="V388" s="317"/>
      <c r="W388" s="39"/>
      <c r="X388" s="39"/>
      <c r="Y388" s="6">
        <f>R387-Y387</f>
        <v>150632.61000000685</v>
      </c>
    </row>
    <row r="389" spans="1:24" ht="15" customHeight="1">
      <c r="A389" s="190" t="s">
        <v>79</v>
      </c>
      <c r="B389" s="190"/>
      <c r="C389" s="190"/>
      <c r="D389" s="190"/>
      <c r="E389" s="190"/>
      <c r="F389" s="190"/>
      <c r="G389" s="190"/>
      <c r="H389" s="190"/>
      <c r="I389" s="190"/>
      <c r="J389" s="190"/>
      <c r="K389" s="190"/>
      <c r="L389" s="190"/>
      <c r="M389" s="190"/>
      <c r="N389" s="191" t="s">
        <v>80</v>
      </c>
      <c r="O389" s="191"/>
      <c r="P389" s="191"/>
      <c r="Q389" s="191"/>
      <c r="R389" s="191"/>
      <c r="S389" s="187"/>
      <c r="T389" s="187"/>
      <c r="U389" s="187"/>
      <c r="V389" s="187"/>
      <c r="W389" s="2"/>
      <c r="X389" s="2"/>
    </row>
    <row r="390" spans="1:24" ht="9" customHeight="1">
      <c r="A390" s="187"/>
      <c r="B390" s="187"/>
      <c r="C390" s="187"/>
      <c r="D390" s="187"/>
      <c r="E390" s="187"/>
      <c r="F390" s="187"/>
      <c r="G390" s="187"/>
      <c r="H390" s="187"/>
      <c r="I390" s="187"/>
      <c r="J390" s="2"/>
      <c r="K390" s="188" t="s">
        <v>64</v>
      </c>
      <c r="L390" s="188"/>
      <c r="M390" s="25"/>
      <c r="N390" s="189"/>
      <c r="O390" s="189"/>
      <c r="P390" s="188" t="s">
        <v>65</v>
      </c>
      <c r="Q390" s="188"/>
      <c r="R390" s="188"/>
      <c r="S390" s="187"/>
      <c r="T390" s="187"/>
      <c r="U390" s="187"/>
      <c r="V390" s="187"/>
      <c r="W390" s="2"/>
      <c r="X390" s="2"/>
    </row>
    <row r="391" spans="1:24" ht="15" customHeight="1">
      <c r="A391" s="190" t="s">
        <v>72</v>
      </c>
      <c r="B391" s="190"/>
      <c r="C391" s="190"/>
      <c r="D391" s="190"/>
      <c r="E391" s="190"/>
      <c r="F391" s="190"/>
      <c r="G391" s="190"/>
      <c r="H391" s="190"/>
      <c r="I391" s="190"/>
      <c r="J391" s="190"/>
      <c r="K391" s="190"/>
      <c r="L391" s="190"/>
      <c r="M391" s="190"/>
      <c r="N391" s="191" t="s">
        <v>73</v>
      </c>
      <c r="O391" s="191"/>
      <c r="P391" s="191"/>
      <c r="Q391" s="191"/>
      <c r="R391" s="191"/>
      <c r="S391" s="187"/>
      <c r="T391" s="187"/>
      <c r="U391" s="187"/>
      <c r="V391" s="187"/>
      <c r="W391" s="2"/>
      <c r="X391" s="2"/>
    </row>
    <row r="392" spans="1:24" ht="9" customHeight="1">
      <c r="A392" s="187"/>
      <c r="B392" s="187"/>
      <c r="C392" s="187"/>
      <c r="D392" s="187"/>
      <c r="E392" s="187"/>
      <c r="F392" s="187"/>
      <c r="G392" s="187"/>
      <c r="H392" s="187"/>
      <c r="I392" s="187"/>
      <c r="J392" s="2"/>
      <c r="K392" s="188" t="s">
        <v>64</v>
      </c>
      <c r="L392" s="188"/>
      <c r="M392" s="25"/>
      <c r="N392" s="189"/>
      <c r="O392" s="189"/>
      <c r="P392" s="188" t="s">
        <v>65</v>
      </c>
      <c r="Q392" s="188"/>
      <c r="R392" s="188"/>
      <c r="S392" s="187" t="s">
        <v>68</v>
      </c>
      <c r="T392" s="187"/>
      <c r="U392" s="187"/>
      <c r="V392" s="187"/>
      <c r="W392" s="2"/>
      <c r="X392" s="2"/>
    </row>
    <row r="393" spans="1:24" ht="12" customHeight="1">
      <c r="A393" s="318">
        <f>V4</f>
        <v>41268</v>
      </c>
      <c r="B393" s="319"/>
      <c r="C393" s="319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37"/>
      <c r="X393" s="37"/>
    </row>
    <row r="394" spans="1:24" ht="16.5" customHeight="1">
      <c r="A394" s="188" t="s">
        <v>66</v>
      </c>
      <c r="B394" s="188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116"/>
      <c r="X394" s="116"/>
    </row>
    <row r="395" spans="1:24" ht="16.5" customHeight="1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7"/>
      <c r="X395" s="117"/>
    </row>
    <row r="396" spans="18:24" ht="16.5" customHeight="1">
      <c r="R396" s="80"/>
      <c r="W396" s="80"/>
      <c r="X396" s="80"/>
    </row>
    <row r="410" ht="12.75">
      <c r="R410" s="1" t="s">
        <v>68</v>
      </c>
    </row>
    <row r="418" spans="18:24" ht="12.75">
      <c r="R418" s="130">
        <v>29609376.5</v>
      </c>
      <c r="V418" s="129" t="s">
        <v>382</v>
      </c>
      <c r="W418" s="130">
        <v>21645400</v>
      </c>
      <c r="X418" s="130">
        <v>22709700</v>
      </c>
    </row>
    <row r="419" spans="18:24" ht="12.75">
      <c r="R419" s="132">
        <f>R387-R418</f>
        <v>1175561.9900000058</v>
      </c>
      <c r="V419" s="131"/>
      <c r="W419" s="132">
        <f>W387-W418</f>
        <v>-8</v>
      </c>
      <c r="X419" s="132">
        <f>X387-X418</f>
        <v>-8</v>
      </c>
    </row>
    <row r="421" spans="18:22" ht="12.75">
      <c r="R421" s="80">
        <f>R387-R16</f>
        <v>0</v>
      </c>
      <c r="S421" s="80">
        <f>S387-S16</f>
        <v>0</v>
      </c>
      <c r="T421" s="80">
        <f>T387-T16</f>
        <v>0</v>
      </c>
      <c r="U421" s="80">
        <f>U387-U16</f>
        <v>0</v>
      </c>
      <c r="V421" s="80">
        <f>V387-V16</f>
        <v>0</v>
      </c>
    </row>
  </sheetData>
  <mergeCells count="786">
    <mergeCell ref="P392:R392"/>
    <mergeCell ref="S392:V392"/>
    <mergeCell ref="A393:C393"/>
    <mergeCell ref="A394:B394"/>
    <mergeCell ref="A392:I392"/>
    <mergeCell ref="K392:L392"/>
    <mergeCell ref="N392:O392"/>
    <mergeCell ref="A386:F386"/>
    <mergeCell ref="G386:Q386"/>
    <mergeCell ref="A387:Q387"/>
    <mergeCell ref="A388:V388"/>
    <mergeCell ref="G318:O318"/>
    <mergeCell ref="A318:F318"/>
    <mergeCell ref="G314:Q314"/>
    <mergeCell ref="G316:Q316"/>
    <mergeCell ref="A317:F317"/>
    <mergeCell ref="A314:F314"/>
    <mergeCell ref="A315:F315"/>
    <mergeCell ref="G315:Q315"/>
    <mergeCell ref="A316:F316"/>
    <mergeCell ref="A298:F298"/>
    <mergeCell ref="A301:E301"/>
    <mergeCell ref="A299:E299"/>
    <mergeCell ref="A306:F306"/>
    <mergeCell ref="A304:F304"/>
    <mergeCell ref="A300:E300"/>
    <mergeCell ref="S389:V389"/>
    <mergeCell ref="A389:H389"/>
    <mergeCell ref="I389:M389"/>
    <mergeCell ref="N389:R389"/>
    <mergeCell ref="A384:F384"/>
    <mergeCell ref="G384:Q384"/>
    <mergeCell ref="A385:F385"/>
    <mergeCell ref="G385:Q385"/>
    <mergeCell ref="A382:F382"/>
    <mergeCell ref="G382:Q382"/>
    <mergeCell ref="A383:F383"/>
    <mergeCell ref="G383:Q383"/>
    <mergeCell ref="A380:F380"/>
    <mergeCell ref="G380:Q380"/>
    <mergeCell ref="A381:F381"/>
    <mergeCell ref="G381:Q381"/>
    <mergeCell ref="A378:F378"/>
    <mergeCell ref="G378:Q378"/>
    <mergeCell ref="A379:F379"/>
    <mergeCell ref="G379:Q379"/>
    <mergeCell ref="A376:F376"/>
    <mergeCell ref="G376:Q376"/>
    <mergeCell ref="A377:F377"/>
    <mergeCell ref="G377:Q377"/>
    <mergeCell ref="A374:F374"/>
    <mergeCell ref="G374:Q374"/>
    <mergeCell ref="A375:F375"/>
    <mergeCell ref="G375:Q375"/>
    <mergeCell ref="G372:Q372"/>
    <mergeCell ref="A373:F373"/>
    <mergeCell ref="G373:Q373"/>
    <mergeCell ref="A372:E372"/>
    <mergeCell ref="G370:Q370"/>
    <mergeCell ref="G371:Q371"/>
    <mergeCell ref="A370:F370"/>
    <mergeCell ref="A371:F371"/>
    <mergeCell ref="G369:Q369"/>
    <mergeCell ref="A368:F368"/>
    <mergeCell ref="G368:Q368"/>
    <mergeCell ref="A369:F369"/>
    <mergeCell ref="A367:F367"/>
    <mergeCell ref="G367:Q367"/>
    <mergeCell ref="A365:F365"/>
    <mergeCell ref="G365:Q365"/>
    <mergeCell ref="A366:F366"/>
    <mergeCell ref="G366:Q366"/>
    <mergeCell ref="A309:E309"/>
    <mergeCell ref="G317:Q317"/>
    <mergeCell ref="G333:Q333"/>
    <mergeCell ref="A334:F334"/>
    <mergeCell ref="G334:Q334"/>
    <mergeCell ref="G331:Q331"/>
    <mergeCell ref="G332:Q332"/>
    <mergeCell ref="A331:E331"/>
    <mergeCell ref="A332:E332"/>
    <mergeCell ref="A333:E333"/>
    <mergeCell ref="G330:Q330"/>
    <mergeCell ref="A329:F329"/>
    <mergeCell ref="G328:Q328"/>
    <mergeCell ref="G329:Q329"/>
    <mergeCell ref="A328:E328"/>
    <mergeCell ref="A330:F330"/>
    <mergeCell ref="G325:Q325"/>
    <mergeCell ref="G326:Q326"/>
    <mergeCell ref="G327:Q327"/>
    <mergeCell ref="A326:E326"/>
    <mergeCell ref="A327:E327"/>
    <mergeCell ref="A325:F325"/>
    <mergeCell ref="G322:Q322"/>
    <mergeCell ref="A323:F323"/>
    <mergeCell ref="G323:Q323"/>
    <mergeCell ref="G324:Q324"/>
    <mergeCell ref="A322:F322"/>
    <mergeCell ref="A324:F324"/>
    <mergeCell ref="G320:Q320"/>
    <mergeCell ref="G321:Q321"/>
    <mergeCell ref="A319:F319"/>
    <mergeCell ref="A321:F321"/>
    <mergeCell ref="A320:F320"/>
    <mergeCell ref="G319:Q319"/>
    <mergeCell ref="A313:F313"/>
    <mergeCell ref="G310:Q310"/>
    <mergeCell ref="A311:F311"/>
    <mergeCell ref="G311:Q311"/>
    <mergeCell ref="G312:Q312"/>
    <mergeCell ref="G313:Q313"/>
    <mergeCell ref="A310:F310"/>
    <mergeCell ref="A312:F312"/>
    <mergeCell ref="A307:E307"/>
    <mergeCell ref="G301:Q301"/>
    <mergeCell ref="G302:Q302"/>
    <mergeCell ref="A308:E308"/>
    <mergeCell ref="G305:Q305"/>
    <mergeCell ref="A305:F305"/>
    <mergeCell ref="A302:F302"/>
    <mergeCell ref="G303:Q303"/>
    <mergeCell ref="G304:Q304"/>
    <mergeCell ref="A303:F303"/>
    <mergeCell ref="G289:Q289"/>
    <mergeCell ref="G309:Q309"/>
    <mergeCell ref="G306:Q306"/>
    <mergeCell ref="G307:Q307"/>
    <mergeCell ref="G298:Q298"/>
    <mergeCell ref="G299:Q299"/>
    <mergeCell ref="G300:Q300"/>
    <mergeCell ref="G297:Q297"/>
    <mergeCell ref="G291:Q291"/>
    <mergeCell ref="G292:Q292"/>
    <mergeCell ref="A292:F292"/>
    <mergeCell ref="G293:Q293"/>
    <mergeCell ref="G295:Q295"/>
    <mergeCell ref="G296:Q296"/>
    <mergeCell ref="A293:F293"/>
    <mergeCell ref="A296:E296"/>
    <mergeCell ref="A289:F289"/>
    <mergeCell ref="A295:E295"/>
    <mergeCell ref="A288:F288"/>
    <mergeCell ref="G286:Q286"/>
    <mergeCell ref="G287:Q287"/>
    <mergeCell ref="A286:F286"/>
    <mergeCell ref="A287:F287"/>
    <mergeCell ref="G288:Q288"/>
    <mergeCell ref="A290:F290"/>
    <mergeCell ref="G290:Q290"/>
    <mergeCell ref="G284:Q284"/>
    <mergeCell ref="G285:Q285"/>
    <mergeCell ref="A284:F284"/>
    <mergeCell ref="A285:F285"/>
    <mergeCell ref="A282:F282"/>
    <mergeCell ref="G282:Q282"/>
    <mergeCell ref="A283:F283"/>
    <mergeCell ref="G283:Q283"/>
    <mergeCell ref="G280:Q280"/>
    <mergeCell ref="G281:Q281"/>
    <mergeCell ref="A280:E280"/>
    <mergeCell ref="A281:E281"/>
    <mergeCell ref="G278:Q278"/>
    <mergeCell ref="G279:Q279"/>
    <mergeCell ref="A279:E279"/>
    <mergeCell ref="A278:F278"/>
    <mergeCell ref="G276:Q276"/>
    <mergeCell ref="G277:Q277"/>
    <mergeCell ref="A276:F276"/>
    <mergeCell ref="A277:E277"/>
    <mergeCell ref="G274:Q274"/>
    <mergeCell ref="G275:Q275"/>
    <mergeCell ref="A274:F274"/>
    <mergeCell ref="A275:F275"/>
    <mergeCell ref="G272:Q272"/>
    <mergeCell ref="G273:Q273"/>
    <mergeCell ref="A272:E272"/>
    <mergeCell ref="A273:E273"/>
    <mergeCell ref="G270:Q270"/>
    <mergeCell ref="G271:Q271"/>
    <mergeCell ref="A271:E271"/>
    <mergeCell ref="A270:F270"/>
    <mergeCell ref="A268:F268"/>
    <mergeCell ref="G268:Q268"/>
    <mergeCell ref="G269:Q269"/>
    <mergeCell ref="A269:F269"/>
    <mergeCell ref="A267:F267"/>
    <mergeCell ref="A266:F266"/>
    <mergeCell ref="G266:O266"/>
    <mergeCell ref="G267:O267"/>
    <mergeCell ref="A264:F264"/>
    <mergeCell ref="A265:F265"/>
    <mergeCell ref="G265:O265"/>
    <mergeCell ref="G264:Q264"/>
    <mergeCell ref="G262:Q262"/>
    <mergeCell ref="A262:F262"/>
    <mergeCell ref="A263:F263"/>
    <mergeCell ref="G263:Q263"/>
    <mergeCell ref="A261:F261"/>
    <mergeCell ref="A260:F260"/>
    <mergeCell ref="G260:O260"/>
    <mergeCell ref="G261:O261"/>
    <mergeCell ref="A258:F258"/>
    <mergeCell ref="G258:O258"/>
    <mergeCell ref="A259:F259"/>
    <mergeCell ref="G259:O259"/>
    <mergeCell ref="A257:F257"/>
    <mergeCell ref="A256:F256"/>
    <mergeCell ref="G257:O257"/>
    <mergeCell ref="G256:Q256"/>
    <mergeCell ref="G254:Q254"/>
    <mergeCell ref="A254:F254"/>
    <mergeCell ref="A255:F255"/>
    <mergeCell ref="G255:Q255"/>
    <mergeCell ref="G252:Q252"/>
    <mergeCell ref="G253:Q253"/>
    <mergeCell ref="A253:F253"/>
    <mergeCell ref="A252:E252"/>
    <mergeCell ref="G250:Q250"/>
    <mergeCell ref="G251:Q251"/>
    <mergeCell ref="A250:E250"/>
    <mergeCell ref="A251:E251"/>
    <mergeCell ref="G248:Q248"/>
    <mergeCell ref="G249:Q249"/>
    <mergeCell ref="A248:F248"/>
    <mergeCell ref="A249:F249"/>
    <mergeCell ref="G247:Q247"/>
    <mergeCell ref="A246:F246"/>
    <mergeCell ref="A247:F247"/>
    <mergeCell ref="G246:Q246"/>
    <mergeCell ref="A244:F244"/>
    <mergeCell ref="A245:F245"/>
    <mergeCell ref="G244:Q244"/>
    <mergeCell ref="G245:Q245"/>
    <mergeCell ref="A242:F242"/>
    <mergeCell ref="A243:F243"/>
    <mergeCell ref="G242:Q242"/>
    <mergeCell ref="G243:Q243"/>
    <mergeCell ref="G240:Q240"/>
    <mergeCell ref="G241:Q241"/>
    <mergeCell ref="A240:F240"/>
    <mergeCell ref="A241:F241"/>
    <mergeCell ref="G238:Q238"/>
    <mergeCell ref="G239:Q239"/>
    <mergeCell ref="A238:F238"/>
    <mergeCell ref="A239:F239"/>
    <mergeCell ref="G236:Q236"/>
    <mergeCell ref="G237:Q237"/>
    <mergeCell ref="A236:E236"/>
    <mergeCell ref="A237:E237"/>
    <mergeCell ref="G234:Q234"/>
    <mergeCell ref="G235:Q235"/>
    <mergeCell ref="A235:E235"/>
    <mergeCell ref="A234:F234"/>
    <mergeCell ref="G232:Q232"/>
    <mergeCell ref="G233:Q233"/>
    <mergeCell ref="A233:F233"/>
    <mergeCell ref="A232:E232"/>
    <mergeCell ref="G230:Q230"/>
    <mergeCell ref="G231:Q231"/>
    <mergeCell ref="A231:E231"/>
    <mergeCell ref="A230:F230"/>
    <mergeCell ref="G228:Q228"/>
    <mergeCell ref="G229:Q229"/>
    <mergeCell ref="A229:F229"/>
    <mergeCell ref="A228:E228"/>
    <mergeCell ref="G226:Q226"/>
    <mergeCell ref="G227:Q227"/>
    <mergeCell ref="A227:E227"/>
    <mergeCell ref="A226:F226"/>
    <mergeCell ref="G224:Q224"/>
    <mergeCell ref="G225:Q225"/>
    <mergeCell ref="A224:F224"/>
    <mergeCell ref="A225:F225"/>
    <mergeCell ref="G221:Q221"/>
    <mergeCell ref="G222:Q222"/>
    <mergeCell ref="G223:Q223"/>
    <mergeCell ref="A221:E221"/>
    <mergeCell ref="A222:E222"/>
    <mergeCell ref="A223:E223"/>
    <mergeCell ref="G218:Q218"/>
    <mergeCell ref="G219:Q219"/>
    <mergeCell ref="G220:Q220"/>
    <mergeCell ref="A220:E220"/>
    <mergeCell ref="A219:E219"/>
    <mergeCell ref="A218:F218"/>
    <mergeCell ref="G217:Q217"/>
    <mergeCell ref="G214:Q214"/>
    <mergeCell ref="G215:Q215"/>
    <mergeCell ref="G216:Q216"/>
    <mergeCell ref="A214:E214"/>
    <mergeCell ref="A215:E215"/>
    <mergeCell ref="A216:E216"/>
    <mergeCell ref="A217:E217"/>
    <mergeCell ref="G212:Q212"/>
    <mergeCell ref="G213:Q213"/>
    <mergeCell ref="A213:E213"/>
    <mergeCell ref="A212:E212"/>
    <mergeCell ref="G210:Q210"/>
    <mergeCell ref="G211:Q211"/>
    <mergeCell ref="A210:E210"/>
    <mergeCell ref="A211:E211"/>
    <mergeCell ref="G208:Q208"/>
    <mergeCell ref="G209:Q209"/>
    <mergeCell ref="A208:E208"/>
    <mergeCell ref="A209:E209"/>
    <mergeCell ref="G206:Q206"/>
    <mergeCell ref="G207:Q207"/>
    <mergeCell ref="A206:E206"/>
    <mergeCell ref="A207:F207"/>
    <mergeCell ref="G204:Q204"/>
    <mergeCell ref="G205:Q205"/>
    <mergeCell ref="A204:F204"/>
    <mergeCell ref="A205:F205"/>
    <mergeCell ref="G202:Q202"/>
    <mergeCell ref="G203:Q203"/>
    <mergeCell ref="A202:F202"/>
    <mergeCell ref="A203:F203"/>
    <mergeCell ref="G201:Q201"/>
    <mergeCell ref="A200:F200"/>
    <mergeCell ref="A201:F201"/>
    <mergeCell ref="G200:O200"/>
    <mergeCell ref="A199:F199"/>
    <mergeCell ref="G199:O199"/>
    <mergeCell ref="A198:E198"/>
    <mergeCell ref="G198:Q198"/>
    <mergeCell ref="G196:Q196"/>
    <mergeCell ref="A196:E196"/>
    <mergeCell ref="A197:E197"/>
    <mergeCell ref="G197:Q197"/>
    <mergeCell ref="G194:Q194"/>
    <mergeCell ref="G195:Q195"/>
    <mergeCell ref="A194:E194"/>
    <mergeCell ref="A195:E195"/>
    <mergeCell ref="G192:Q192"/>
    <mergeCell ref="G193:Q193"/>
    <mergeCell ref="A192:E192"/>
    <mergeCell ref="A193:E193"/>
    <mergeCell ref="G190:Q190"/>
    <mergeCell ref="G191:Q191"/>
    <mergeCell ref="A190:E190"/>
    <mergeCell ref="A191:E191"/>
    <mergeCell ref="G188:Q188"/>
    <mergeCell ref="G189:Q189"/>
    <mergeCell ref="A188:E188"/>
    <mergeCell ref="A189:E189"/>
    <mergeCell ref="G186:Q186"/>
    <mergeCell ref="G187:Q187"/>
    <mergeCell ref="A186:E186"/>
    <mergeCell ref="A187:E187"/>
    <mergeCell ref="G184:Q184"/>
    <mergeCell ref="G185:Q185"/>
    <mergeCell ref="A184:E184"/>
    <mergeCell ref="A185:E185"/>
    <mergeCell ref="G182:Q182"/>
    <mergeCell ref="G183:Q183"/>
    <mergeCell ref="A182:E182"/>
    <mergeCell ref="A183:E183"/>
    <mergeCell ref="G180:Q180"/>
    <mergeCell ref="A181:E181"/>
    <mergeCell ref="G181:Q181"/>
    <mergeCell ref="A180:E180"/>
    <mergeCell ref="G178:Q178"/>
    <mergeCell ref="G179:Q179"/>
    <mergeCell ref="A178:E178"/>
    <mergeCell ref="A179:E179"/>
    <mergeCell ref="G176:Q176"/>
    <mergeCell ref="G177:Q177"/>
    <mergeCell ref="A176:E176"/>
    <mergeCell ref="A177:F177"/>
    <mergeCell ref="G174:Q174"/>
    <mergeCell ref="G175:Q175"/>
    <mergeCell ref="A174:F174"/>
    <mergeCell ref="A175:F175"/>
    <mergeCell ref="G172:Q172"/>
    <mergeCell ref="G173:Q173"/>
    <mergeCell ref="A173:F173"/>
    <mergeCell ref="A172:F172"/>
    <mergeCell ref="A170:F170"/>
    <mergeCell ref="G170:Q170"/>
    <mergeCell ref="G171:Q171"/>
    <mergeCell ref="A171:F171"/>
    <mergeCell ref="G168:Q168"/>
    <mergeCell ref="G169:Q169"/>
    <mergeCell ref="A168:F168"/>
    <mergeCell ref="A169:F169"/>
    <mergeCell ref="G166:Q166"/>
    <mergeCell ref="G167:Q167"/>
    <mergeCell ref="A166:F166"/>
    <mergeCell ref="A167:F167"/>
    <mergeCell ref="G164:Q164"/>
    <mergeCell ref="G165:Q165"/>
    <mergeCell ref="A164:F164"/>
    <mergeCell ref="A165:F165"/>
    <mergeCell ref="G162:Q162"/>
    <mergeCell ref="G163:Q163"/>
    <mergeCell ref="A163:F163"/>
    <mergeCell ref="A162:E162"/>
    <mergeCell ref="G160:Q160"/>
    <mergeCell ref="G161:Q161"/>
    <mergeCell ref="A161:E161"/>
    <mergeCell ref="A160:F160"/>
    <mergeCell ref="G158:Q158"/>
    <mergeCell ref="G159:Q159"/>
    <mergeCell ref="A158:F158"/>
    <mergeCell ref="A159:E159"/>
    <mergeCell ref="G156:Q156"/>
    <mergeCell ref="G157:Q157"/>
    <mergeCell ref="A156:F156"/>
    <mergeCell ref="A157:F157"/>
    <mergeCell ref="G154:Q154"/>
    <mergeCell ref="G155:Q155"/>
    <mergeCell ref="A154:F154"/>
    <mergeCell ref="A155:F155"/>
    <mergeCell ref="G152:Q152"/>
    <mergeCell ref="G153:Q153"/>
    <mergeCell ref="A152:E152"/>
    <mergeCell ref="A153:E153"/>
    <mergeCell ref="G151:Q151"/>
    <mergeCell ref="A150:E150"/>
    <mergeCell ref="F150:Q150"/>
    <mergeCell ref="A151:F151"/>
    <mergeCell ref="G148:Q148"/>
    <mergeCell ref="A148:E148"/>
    <mergeCell ref="A149:E149"/>
    <mergeCell ref="G149:Q149"/>
    <mergeCell ref="G146:Q146"/>
    <mergeCell ref="G147:Q147"/>
    <mergeCell ref="A146:E146"/>
    <mergeCell ref="A147:E147"/>
    <mergeCell ref="A144:F144"/>
    <mergeCell ref="G144:Q144"/>
    <mergeCell ref="G145:Q145"/>
    <mergeCell ref="A145:F145"/>
    <mergeCell ref="G142:Q142"/>
    <mergeCell ref="A143:F143"/>
    <mergeCell ref="G143:Q143"/>
    <mergeCell ref="A142:E142"/>
    <mergeCell ref="G140:Q140"/>
    <mergeCell ref="G141:Q141"/>
    <mergeCell ref="A140:E140"/>
    <mergeCell ref="A141:F141"/>
    <mergeCell ref="A139:E139"/>
    <mergeCell ref="A138:E138"/>
    <mergeCell ref="G138:Q138"/>
    <mergeCell ref="F139:Q139"/>
    <mergeCell ref="G136:Q136"/>
    <mergeCell ref="G137:Q137"/>
    <mergeCell ref="A136:E136"/>
    <mergeCell ref="A137:E137"/>
    <mergeCell ref="A135:E135"/>
    <mergeCell ref="A134:F134"/>
    <mergeCell ref="G134:Q134"/>
    <mergeCell ref="G135:O135"/>
    <mergeCell ref="G132:Q132"/>
    <mergeCell ref="G133:Q133"/>
    <mergeCell ref="A132:F132"/>
    <mergeCell ref="A133:F133"/>
    <mergeCell ref="A131:F131"/>
    <mergeCell ref="G131:Q131"/>
    <mergeCell ref="A130:F130"/>
    <mergeCell ref="G130:Q130"/>
    <mergeCell ref="G128:Q128"/>
    <mergeCell ref="G129:Q129"/>
    <mergeCell ref="A128:F128"/>
    <mergeCell ref="A129:F129"/>
    <mergeCell ref="G126:Q126"/>
    <mergeCell ref="G127:Q127"/>
    <mergeCell ref="A126:F126"/>
    <mergeCell ref="A127:F127"/>
    <mergeCell ref="G124:Q124"/>
    <mergeCell ref="A125:F125"/>
    <mergeCell ref="G125:Q125"/>
    <mergeCell ref="A124:E124"/>
    <mergeCell ref="G122:Q122"/>
    <mergeCell ref="G123:Q123"/>
    <mergeCell ref="A122:E122"/>
    <mergeCell ref="A123:F123"/>
    <mergeCell ref="G120:Q120"/>
    <mergeCell ref="G121:Q121"/>
    <mergeCell ref="A120:F120"/>
    <mergeCell ref="A121:F121"/>
    <mergeCell ref="A118:F118"/>
    <mergeCell ref="G118:Q118"/>
    <mergeCell ref="A119:F119"/>
    <mergeCell ref="G119:Q119"/>
    <mergeCell ref="A116:F116"/>
    <mergeCell ref="G116:Q116"/>
    <mergeCell ref="A117:F117"/>
    <mergeCell ref="G117:Q117"/>
    <mergeCell ref="G114:Q114"/>
    <mergeCell ref="G115:Q115"/>
    <mergeCell ref="A114:E114"/>
    <mergeCell ref="A115:E115"/>
    <mergeCell ref="G112:Q112"/>
    <mergeCell ref="G113:Q113"/>
    <mergeCell ref="A112:F112"/>
    <mergeCell ref="A113:F113"/>
    <mergeCell ref="G110:Q110"/>
    <mergeCell ref="G111:Q111"/>
    <mergeCell ref="A110:F110"/>
    <mergeCell ref="A111:F111"/>
    <mergeCell ref="G108:Q108"/>
    <mergeCell ref="G109:Q109"/>
    <mergeCell ref="A108:F108"/>
    <mergeCell ref="A109:F109"/>
    <mergeCell ref="A106:F106"/>
    <mergeCell ref="G106:Q106"/>
    <mergeCell ref="G107:Q107"/>
    <mergeCell ref="A107:F107"/>
    <mergeCell ref="A104:F104"/>
    <mergeCell ref="G104:Q104"/>
    <mergeCell ref="G105:Q105"/>
    <mergeCell ref="A105:F105"/>
    <mergeCell ref="A102:F102"/>
    <mergeCell ref="G102:Q102"/>
    <mergeCell ref="A103:F103"/>
    <mergeCell ref="G103:Q103"/>
    <mergeCell ref="A100:F100"/>
    <mergeCell ref="G100:Q100"/>
    <mergeCell ref="A101:F101"/>
    <mergeCell ref="G101:Q101"/>
    <mergeCell ref="A98:F98"/>
    <mergeCell ref="G98:Q98"/>
    <mergeCell ref="G99:Q99"/>
    <mergeCell ref="A99:F99"/>
    <mergeCell ref="A96:F96"/>
    <mergeCell ref="G96:Q96"/>
    <mergeCell ref="G97:Q97"/>
    <mergeCell ref="A97:F97"/>
    <mergeCell ref="G94:Q94"/>
    <mergeCell ref="G95:Q95"/>
    <mergeCell ref="A94:F94"/>
    <mergeCell ref="A95:F95"/>
    <mergeCell ref="A93:F93"/>
    <mergeCell ref="G93:Q93"/>
    <mergeCell ref="A92:F92"/>
    <mergeCell ref="G92:Q92"/>
    <mergeCell ref="G90:Q90"/>
    <mergeCell ref="G91:Q91"/>
    <mergeCell ref="A90:F90"/>
    <mergeCell ref="A91:E91"/>
    <mergeCell ref="G88:Q88"/>
    <mergeCell ref="G89:Q89"/>
    <mergeCell ref="A88:E88"/>
    <mergeCell ref="A89:E89"/>
    <mergeCell ref="G86:Q86"/>
    <mergeCell ref="A87:E87"/>
    <mergeCell ref="G87:Q87"/>
    <mergeCell ref="A86:F86"/>
    <mergeCell ref="A83:F83"/>
    <mergeCell ref="G83:Q83"/>
    <mergeCell ref="G84:Q84"/>
    <mergeCell ref="G85:Q85"/>
    <mergeCell ref="A84:F84"/>
    <mergeCell ref="A85:F85"/>
    <mergeCell ref="A81:F81"/>
    <mergeCell ref="G81:Q81"/>
    <mergeCell ref="A82:F82"/>
    <mergeCell ref="G82:Q82"/>
    <mergeCell ref="A79:F79"/>
    <mergeCell ref="G79:Q79"/>
    <mergeCell ref="A80:F80"/>
    <mergeCell ref="G80:Q80"/>
    <mergeCell ref="G77:Q77"/>
    <mergeCell ref="A76:F76"/>
    <mergeCell ref="A77:E77"/>
    <mergeCell ref="A78:F78"/>
    <mergeCell ref="G78:Q78"/>
    <mergeCell ref="G74:Q74"/>
    <mergeCell ref="A75:F75"/>
    <mergeCell ref="G75:Q75"/>
    <mergeCell ref="G76:Q76"/>
    <mergeCell ref="G65:Q65"/>
    <mergeCell ref="G66:Q66"/>
    <mergeCell ref="A65:F65"/>
    <mergeCell ref="A66:F66"/>
    <mergeCell ref="A62:F62"/>
    <mergeCell ref="G62:Q62"/>
    <mergeCell ref="G63:Q63"/>
    <mergeCell ref="G64:Q64"/>
    <mergeCell ref="A63:F63"/>
    <mergeCell ref="A64:E64"/>
    <mergeCell ref="A60:F60"/>
    <mergeCell ref="G60:Q60"/>
    <mergeCell ref="A61:F61"/>
    <mergeCell ref="G61:Q61"/>
    <mergeCell ref="G58:Q58"/>
    <mergeCell ref="A59:F59"/>
    <mergeCell ref="G59:Q59"/>
    <mergeCell ref="A58:F58"/>
    <mergeCell ref="A56:F56"/>
    <mergeCell ref="A57:F57"/>
    <mergeCell ref="G57:Q57"/>
    <mergeCell ref="G56:Q56"/>
    <mergeCell ref="A54:F54"/>
    <mergeCell ref="G54:Q54"/>
    <mergeCell ref="A55:F55"/>
    <mergeCell ref="G55:Q55"/>
    <mergeCell ref="A52:F52"/>
    <mergeCell ref="G52:Q52"/>
    <mergeCell ref="A53:F53"/>
    <mergeCell ref="G53:Q53"/>
    <mergeCell ref="G50:Q50"/>
    <mergeCell ref="A51:F51"/>
    <mergeCell ref="G51:Q51"/>
    <mergeCell ref="A50:F50"/>
    <mergeCell ref="A48:F48"/>
    <mergeCell ref="G48:Q48"/>
    <mergeCell ref="A49:F49"/>
    <mergeCell ref="G49:Q49"/>
    <mergeCell ref="A46:F46"/>
    <mergeCell ref="G46:Q46"/>
    <mergeCell ref="A47:F47"/>
    <mergeCell ref="G47:Q47"/>
    <mergeCell ref="A44:F44"/>
    <mergeCell ref="G44:Q44"/>
    <mergeCell ref="A45:F45"/>
    <mergeCell ref="G45:Q45"/>
    <mergeCell ref="A42:F42"/>
    <mergeCell ref="G42:Q42"/>
    <mergeCell ref="A43:F43"/>
    <mergeCell ref="G43:Q43"/>
    <mergeCell ref="A40:F40"/>
    <mergeCell ref="G40:Q40"/>
    <mergeCell ref="A41:F41"/>
    <mergeCell ref="G41:Q41"/>
    <mergeCell ref="A38:F38"/>
    <mergeCell ref="G38:Q38"/>
    <mergeCell ref="A39:F39"/>
    <mergeCell ref="G39:Q39"/>
    <mergeCell ref="A36:F36"/>
    <mergeCell ref="G36:Q36"/>
    <mergeCell ref="A37:F37"/>
    <mergeCell ref="G37:Q37"/>
    <mergeCell ref="A34:F34"/>
    <mergeCell ref="G34:Q34"/>
    <mergeCell ref="A35:F35"/>
    <mergeCell ref="G35:Q35"/>
    <mergeCell ref="A32:F32"/>
    <mergeCell ref="G32:Q32"/>
    <mergeCell ref="A33:F33"/>
    <mergeCell ref="G33:Q33"/>
    <mergeCell ref="A30:F30"/>
    <mergeCell ref="G30:Q30"/>
    <mergeCell ref="A31:F31"/>
    <mergeCell ref="G31:Q31"/>
    <mergeCell ref="A28:F28"/>
    <mergeCell ref="G28:Q28"/>
    <mergeCell ref="A29:F29"/>
    <mergeCell ref="G29:Q29"/>
    <mergeCell ref="G26:Q26"/>
    <mergeCell ref="A27:F27"/>
    <mergeCell ref="G27:Q27"/>
    <mergeCell ref="A26:E26"/>
    <mergeCell ref="G24:Q24"/>
    <mergeCell ref="A25:F25"/>
    <mergeCell ref="G25:Q25"/>
    <mergeCell ref="A24:F24"/>
    <mergeCell ref="A22:F22"/>
    <mergeCell ref="G22:Q22"/>
    <mergeCell ref="A23:F23"/>
    <mergeCell ref="G23:Q23"/>
    <mergeCell ref="A20:F20"/>
    <mergeCell ref="G20:Q20"/>
    <mergeCell ref="A21:F21"/>
    <mergeCell ref="G21:Q21"/>
    <mergeCell ref="A18:E18"/>
    <mergeCell ref="G18:Q18"/>
    <mergeCell ref="A19:F19"/>
    <mergeCell ref="G19:Q19"/>
    <mergeCell ref="A16:F16"/>
    <mergeCell ref="G16:Q16"/>
    <mergeCell ref="A17:F17"/>
    <mergeCell ref="G17:Q17"/>
    <mergeCell ref="W13:W14"/>
    <mergeCell ref="X13:X14"/>
    <mergeCell ref="A15:F15"/>
    <mergeCell ref="G15:Q15"/>
    <mergeCell ref="A12:V12"/>
    <mergeCell ref="A13:F14"/>
    <mergeCell ref="G13:Q14"/>
    <mergeCell ref="R13:R14"/>
    <mergeCell ref="S13:V13"/>
    <mergeCell ref="A8:F8"/>
    <mergeCell ref="A9:H9"/>
    <mergeCell ref="A11:C11"/>
    <mergeCell ref="G11:P11"/>
    <mergeCell ref="K4:Q4"/>
    <mergeCell ref="A6:E6"/>
    <mergeCell ref="F6:R6"/>
    <mergeCell ref="A7:G7"/>
    <mergeCell ref="H7:S7"/>
    <mergeCell ref="A1:V1"/>
    <mergeCell ref="A3:K3"/>
    <mergeCell ref="L3:N3"/>
    <mergeCell ref="O3:P3"/>
    <mergeCell ref="A67:F67"/>
    <mergeCell ref="G67:Q67"/>
    <mergeCell ref="A68:F68"/>
    <mergeCell ref="G68:Q68"/>
    <mergeCell ref="A69:F69"/>
    <mergeCell ref="G69:Q69"/>
    <mergeCell ref="A70:F70"/>
    <mergeCell ref="A71:F71"/>
    <mergeCell ref="G70:Q70"/>
    <mergeCell ref="G71:P71"/>
    <mergeCell ref="A72:F72"/>
    <mergeCell ref="G72:Q72"/>
    <mergeCell ref="A73:F73"/>
    <mergeCell ref="G308:Q308"/>
    <mergeCell ref="A291:F291"/>
    <mergeCell ref="G294:Q294"/>
    <mergeCell ref="A294:E294"/>
    <mergeCell ref="G73:Q73"/>
    <mergeCell ref="A74:F74"/>
    <mergeCell ref="A297:F297"/>
    <mergeCell ref="G338:Q338"/>
    <mergeCell ref="G337:Q337"/>
    <mergeCell ref="G335:Q335"/>
    <mergeCell ref="G336:Q336"/>
    <mergeCell ref="G344:Q344"/>
    <mergeCell ref="G341:Q341"/>
    <mergeCell ref="A343:F343"/>
    <mergeCell ref="G343:Q343"/>
    <mergeCell ref="G339:Q339"/>
    <mergeCell ref="A341:F341"/>
    <mergeCell ref="A342:F342"/>
    <mergeCell ref="G342:Q342"/>
    <mergeCell ref="A340:F340"/>
    <mergeCell ref="G340:Q340"/>
    <mergeCell ref="A339:F339"/>
    <mergeCell ref="G347:Q347"/>
    <mergeCell ref="G348:Q348"/>
    <mergeCell ref="G345:Q345"/>
    <mergeCell ref="A345:F345"/>
    <mergeCell ref="G346:Q346"/>
    <mergeCell ref="A347:F347"/>
    <mergeCell ref="A346:F346"/>
    <mergeCell ref="G349:Q349"/>
    <mergeCell ref="A348:F348"/>
    <mergeCell ref="A350:F350"/>
    <mergeCell ref="G350:Q350"/>
    <mergeCell ref="A349:F349"/>
    <mergeCell ref="G352:Q352"/>
    <mergeCell ref="A351:F351"/>
    <mergeCell ref="G351:Q351"/>
    <mergeCell ref="A353:F353"/>
    <mergeCell ref="G353:Q353"/>
    <mergeCell ref="A352:F352"/>
    <mergeCell ref="G354:Q354"/>
    <mergeCell ref="A355:F355"/>
    <mergeCell ref="G355:Q355"/>
    <mergeCell ref="A356:F356"/>
    <mergeCell ref="G356:Q356"/>
    <mergeCell ref="A354:F354"/>
    <mergeCell ref="G357:Q357"/>
    <mergeCell ref="A358:F358"/>
    <mergeCell ref="G358:Q358"/>
    <mergeCell ref="A359:F359"/>
    <mergeCell ref="G359:Q359"/>
    <mergeCell ref="A357:F357"/>
    <mergeCell ref="G360:Q360"/>
    <mergeCell ref="A361:F361"/>
    <mergeCell ref="G361:Q361"/>
    <mergeCell ref="G362:Q362"/>
    <mergeCell ref="A360:F360"/>
    <mergeCell ref="G363:Q363"/>
    <mergeCell ref="G364:Q364"/>
    <mergeCell ref="A363:F363"/>
    <mergeCell ref="A364:E364"/>
    <mergeCell ref="A335:F335"/>
    <mergeCell ref="A362:F362"/>
    <mergeCell ref="A344:F344"/>
    <mergeCell ref="A338:F338"/>
    <mergeCell ref="A336:F336"/>
    <mergeCell ref="A337:E337"/>
    <mergeCell ref="S390:V390"/>
    <mergeCell ref="S391:V391"/>
    <mergeCell ref="A390:I390"/>
    <mergeCell ref="K390:L390"/>
    <mergeCell ref="N390:O390"/>
    <mergeCell ref="P390:R390"/>
    <mergeCell ref="A391:H391"/>
    <mergeCell ref="I391:M391"/>
    <mergeCell ref="N391:R391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1"/>
  <sheetViews>
    <sheetView tabSelected="1" zoomScale="85" zoomScaleNormal="85" workbookViewId="0" topLeftCell="A1">
      <pane xSplit="16" ySplit="1" topLeftCell="U227" activePane="bottomRight" state="frozen"/>
      <selection pane="topLeft" activeCell="A1" sqref="A1"/>
      <selection pane="topRight" activeCell="Q1" sqref="Q1"/>
      <selection pane="bottomLeft" activeCell="A2" sqref="A2"/>
      <selection pane="bottomRight" activeCell="U230" sqref="U230"/>
    </sheetView>
  </sheetViews>
  <sheetFormatPr defaultColWidth="9.00390625" defaultRowHeight="12.75"/>
  <cols>
    <col min="1" max="1" width="7.00390625" style="1" customWidth="1"/>
    <col min="2" max="2" width="5.75390625" style="1" customWidth="1"/>
    <col min="3" max="3" width="3.75390625" style="1" customWidth="1"/>
    <col min="4" max="4" width="0.12890625" style="1" customWidth="1"/>
    <col min="5" max="5" width="3.125" style="1" customWidth="1"/>
    <col min="6" max="6" width="0.2421875" style="1" hidden="1" customWidth="1"/>
    <col min="7" max="7" width="10.75390625" style="1" customWidth="1"/>
    <col min="8" max="8" width="11.75390625" style="1" customWidth="1"/>
    <col min="9" max="9" width="0.12890625" style="1" customWidth="1"/>
    <col min="10" max="10" width="3.75390625" style="1" customWidth="1"/>
    <col min="11" max="11" width="15.75390625" style="1" customWidth="1"/>
    <col min="12" max="12" width="3.75390625" style="1" customWidth="1"/>
    <col min="13" max="13" width="4.75390625" style="1" customWidth="1"/>
    <col min="14" max="14" width="1.12109375" style="1" customWidth="1"/>
    <col min="15" max="15" width="1.75390625" style="1" customWidth="1"/>
    <col min="16" max="16" width="0.2421875" style="1" customWidth="1"/>
    <col min="17" max="17" width="2.00390625" style="1" hidden="1" customWidth="1"/>
    <col min="18" max="18" width="13.625" style="1" customWidth="1"/>
    <col min="19" max="19" width="12.25390625" style="1" customWidth="1"/>
    <col min="20" max="20" width="12.75390625" style="1" bestFit="1" customWidth="1"/>
    <col min="21" max="22" width="12.25390625" style="1" customWidth="1"/>
    <col min="23" max="23" width="13.375" style="1" customWidth="1"/>
    <col min="24" max="24" width="13.625" style="1" customWidth="1"/>
    <col min="25" max="25" width="12.75390625" style="1" bestFit="1" customWidth="1"/>
    <col min="26" max="26" width="12.75390625" style="1" customWidth="1"/>
    <col min="27" max="16384" width="9.125" style="1" customWidth="1"/>
  </cols>
  <sheetData>
    <row r="1" spans="1:24" ht="19.5" customHeight="1" thickBo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35"/>
      <c r="X1" s="35"/>
    </row>
    <row r="2" spans="1:24" ht="14.25" customHeight="1" thickBot="1">
      <c r="A2" s="76"/>
      <c r="B2" s="76"/>
      <c r="C2" s="76"/>
      <c r="D2" s="76"/>
      <c r="E2" s="76"/>
      <c r="F2" s="76"/>
      <c r="G2" s="76"/>
      <c r="H2" s="7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4" t="s">
        <v>1</v>
      </c>
      <c r="W2" s="52"/>
      <c r="X2" s="52"/>
    </row>
    <row r="3" spans="1:24" ht="18" customHeight="1">
      <c r="A3" s="236" t="s">
        <v>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7" t="s">
        <v>181</v>
      </c>
      <c r="M3" s="237"/>
      <c r="N3" s="237"/>
      <c r="O3" s="235" t="s">
        <v>3</v>
      </c>
      <c r="P3" s="235"/>
      <c r="Q3" s="7"/>
      <c r="R3" s="7"/>
      <c r="S3" s="7"/>
      <c r="T3" s="7"/>
      <c r="U3" s="8" t="s">
        <v>4</v>
      </c>
      <c r="V3" s="15" t="s">
        <v>181</v>
      </c>
      <c r="W3" s="70"/>
      <c r="X3" s="70"/>
    </row>
    <row r="4" spans="1:24" ht="24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238" t="s">
        <v>182</v>
      </c>
      <c r="L4" s="238"/>
      <c r="M4" s="238"/>
      <c r="N4" s="238"/>
      <c r="O4" s="238"/>
      <c r="P4" s="238"/>
      <c r="Q4" s="238"/>
      <c r="R4" s="11"/>
      <c r="S4" s="11"/>
      <c r="T4" s="11"/>
      <c r="U4" s="8" t="s">
        <v>5</v>
      </c>
      <c r="V4" s="173">
        <v>41268</v>
      </c>
      <c r="W4" s="70"/>
      <c r="X4" s="70"/>
    </row>
    <row r="5" spans="1:24" ht="18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"/>
      <c r="V5" s="16"/>
      <c r="W5" s="71"/>
      <c r="X5" s="71"/>
    </row>
    <row r="6" spans="1:24" ht="18.75" customHeight="1">
      <c r="A6" s="239" t="s">
        <v>6</v>
      </c>
      <c r="B6" s="239"/>
      <c r="C6" s="239"/>
      <c r="D6" s="239"/>
      <c r="E6" s="239"/>
      <c r="F6" s="240" t="s">
        <v>67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19"/>
      <c r="T6" s="19"/>
      <c r="U6" s="23" t="s">
        <v>7</v>
      </c>
      <c r="V6" s="17">
        <v>79546239</v>
      </c>
      <c r="W6" s="71"/>
      <c r="X6" s="71"/>
    </row>
    <row r="7" spans="1:24" ht="15.75" customHeight="1">
      <c r="A7" s="239" t="s">
        <v>8</v>
      </c>
      <c r="B7" s="239"/>
      <c r="C7" s="239"/>
      <c r="D7" s="239"/>
      <c r="E7" s="239"/>
      <c r="F7" s="239"/>
      <c r="G7" s="239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0"/>
      <c r="U7" s="21" t="s">
        <v>9</v>
      </c>
      <c r="V7" s="17"/>
      <c r="W7" s="71"/>
      <c r="X7" s="71"/>
    </row>
    <row r="8" spans="1:24" ht="15.75" customHeight="1">
      <c r="A8" s="239" t="s">
        <v>10</v>
      </c>
      <c r="B8" s="239"/>
      <c r="C8" s="239"/>
      <c r="D8" s="239"/>
      <c r="E8" s="239"/>
      <c r="F8" s="23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2"/>
      <c r="V8" s="17"/>
      <c r="W8" s="71"/>
      <c r="X8" s="71"/>
    </row>
    <row r="9" spans="1:24" ht="13.5" customHeight="1" thickBot="1">
      <c r="A9" s="239" t="s">
        <v>11</v>
      </c>
      <c r="B9" s="239"/>
      <c r="C9" s="239"/>
      <c r="D9" s="239"/>
      <c r="E9" s="239"/>
      <c r="F9" s="239"/>
      <c r="G9" s="239"/>
      <c r="H9" s="239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4" t="s">
        <v>12</v>
      </c>
      <c r="V9" s="18" t="s">
        <v>13</v>
      </c>
      <c r="W9" s="70"/>
      <c r="X9" s="70"/>
    </row>
    <row r="10" spans="1:24" ht="8.25" customHeight="1" hidden="1">
      <c r="A10" s="10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6.5" customHeight="1" thickBot="1">
      <c r="A11" s="242" t="s">
        <v>14</v>
      </c>
      <c r="B11" s="242"/>
      <c r="C11" s="242"/>
      <c r="D11" s="11"/>
      <c r="E11" s="11"/>
      <c r="F11" s="11"/>
      <c r="G11" s="243" t="s">
        <v>183</v>
      </c>
      <c r="H11" s="243"/>
      <c r="I11" s="243"/>
      <c r="J11" s="243"/>
      <c r="K11" s="243"/>
      <c r="L11" s="243"/>
      <c r="M11" s="243"/>
      <c r="N11" s="243"/>
      <c r="O11" s="243"/>
      <c r="P11" s="243"/>
      <c r="Q11" s="11"/>
      <c r="R11" s="11"/>
      <c r="S11" s="81"/>
      <c r="T11" s="11"/>
      <c r="U11" s="11"/>
      <c r="V11" s="11"/>
      <c r="W11" s="11"/>
      <c r="X11" s="11"/>
    </row>
    <row r="12" spans="1:24" ht="6.75" customHeight="1" hidden="1" thickBot="1">
      <c r="A12" s="244" t="s">
        <v>68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36"/>
      <c r="X12" s="36"/>
    </row>
    <row r="13" spans="1:24" ht="18" customHeight="1">
      <c r="A13" s="245" t="s">
        <v>15</v>
      </c>
      <c r="B13" s="246"/>
      <c r="C13" s="246"/>
      <c r="D13" s="246"/>
      <c r="E13" s="246"/>
      <c r="F13" s="247"/>
      <c r="G13" s="251" t="s">
        <v>16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53" t="s">
        <v>88</v>
      </c>
      <c r="S13" s="255" t="s">
        <v>17</v>
      </c>
      <c r="T13" s="255"/>
      <c r="U13" s="255"/>
      <c r="V13" s="255"/>
      <c r="W13" s="253" t="s">
        <v>163</v>
      </c>
      <c r="X13" s="256" t="s">
        <v>414</v>
      </c>
    </row>
    <row r="14" spans="1:24" ht="16.5" customHeight="1" thickBot="1">
      <c r="A14" s="248"/>
      <c r="B14" s="249"/>
      <c r="C14" s="249"/>
      <c r="D14" s="249"/>
      <c r="E14" s="249"/>
      <c r="F14" s="250"/>
      <c r="G14" s="252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54"/>
      <c r="S14" s="143" t="s">
        <v>18</v>
      </c>
      <c r="T14" s="26" t="s">
        <v>19</v>
      </c>
      <c r="U14" s="27" t="s">
        <v>20</v>
      </c>
      <c r="V14" s="27" t="s">
        <v>21</v>
      </c>
      <c r="W14" s="254"/>
      <c r="X14" s="257"/>
    </row>
    <row r="15" spans="1:24" ht="15.75" customHeight="1" thickBot="1">
      <c r="A15" s="258" t="s">
        <v>22</v>
      </c>
      <c r="B15" s="259"/>
      <c r="C15" s="259"/>
      <c r="D15" s="259"/>
      <c r="E15" s="259"/>
      <c r="F15" s="260"/>
      <c r="G15" s="261" t="s">
        <v>23</v>
      </c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162" t="s">
        <v>24</v>
      </c>
      <c r="S15" s="163" t="s">
        <v>25</v>
      </c>
      <c r="T15" s="133" t="s">
        <v>26</v>
      </c>
      <c r="U15" s="134" t="s">
        <v>27</v>
      </c>
      <c r="V15" s="134" t="s">
        <v>28</v>
      </c>
      <c r="W15" s="159" t="s">
        <v>82</v>
      </c>
      <c r="X15" s="160" t="s">
        <v>83</v>
      </c>
    </row>
    <row r="16" spans="1:26" s="5" customFormat="1" ht="16.5" customHeight="1">
      <c r="A16" s="262" t="s">
        <v>106</v>
      </c>
      <c r="B16" s="263"/>
      <c r="C16" s="263"/>
      <c r="D16" s="263"/>
      <c r="E16" s="263"/>
      <c r="F16" s="264"/>
      <c r="G16" s="265" t="s">
        <v>29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45">
        <f>R17+R25+R51+R57+R63+R90+R110+R114+R140+R176+R224+R262+R268+R324+R336+R352+R363+R378+R151+R206+R217+R122</f>
        <v>30784938.490000006</v>
      </c>
      <c r="S16" s="161">
        <f aca="true" t="shared" si="0" ref="S16:X16">S17+S25+S51+S57+S63+S90+S110+S114+S140+S176+S224+S262+S268+S324+S336+S352+S363+S378+S151+S206+S217+S122</f>
        <v>7294471.28</v>
      </c>
      <c r="T16" s="164">
        <f t="shared" si="0"/>
        <v>10219863.249999998</v>
      </c>
      <c r="U16" s="164">
        <f t="shared" si="0"/>
        <v>6940257.77</v>
      </c>
      <c r="V16" s="135">
        <f t="shared" si="0"/>
        <v>6179713.580000001</v>
      </c>
      <c r="W16" s="45">
        <f t="shared" si="0"/>
        <v>21645392</v>
      </c>
      <c r="X16" s="95">
        <f t="shared" si="0"/>
        <v>22709692</v>
      </c>
      <c r="Y16" s="28">
        <f>SUM(S16:V16)</f>
        <v>30634305.88</v>
      </c>
      <c r="Z16" s="28">
        <f>R16-S16-T16-U16-V16</f>
        <v>150632.61000000592</v>
      </c>
    </row>
    <row r="17" spans="1:26" s="4" customFormat="1" ht="24.75" customHeight="1">
      <c r="A17" s="201" t="s">
        <v>107</v>
      </c>
      <c r="B17" s="202"/>
      <c r="C17" s="202"/>
      <c r="D17" s="202"/>
      <c r="E17" s="202"/>
      <c r="F17" s="185"/>
      <c r="G17" s="182" t="s">
        <v>30</v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34">
        <f>R18</f>
        <v>1266478.0300000003</v>
      </c>
      <c r="S17" s="53">
        <f aca="true" t="shared" si="1" ref="S17:X21">S18</f>
        <v>549000</v>
      </c>
      <c r="T17" s="29">
        <f t="shared" si="1"/>
        <v>281000</v>
      </c>
      <c r="U17" s="29">
        <f t="shared" si="1"/>
        <v>169000</v>
      </c>
      <c r="V17" s="53">
        <f t="shared" si="1"/>
        <v>267478.03</v>
      </c>
      <c r="W17" s="34">
        <f t="shared" si="1"/>
        <v>1096800</v>
      </c>
      <c r="X17" s="96">
        <f t="shared" si="1"/>
        <v>1123000</v>
      </c>
      <c r="Y17" s="28">
        <f>SUM(S17:V17)</f>
        <v>1266478.03</v>
      </c>
      <c r="Z17" s="28">
        <f>R17-S17-T17-U17-V17</f>
        <v>0</v>
      </c>
    </row>
    <row r="18" spans="1:26" s="43" customFormat="1" ht="23.25" customHeight="1">
      <c r="A18" s="186" t="s">
        <v>108</v>
      </c>
      <c r="B18" s="181"/>
      <c r="C18" s="181"/>
      <c r="D18" s="181"/>
      <c r="E18" s="181"/>
      <c r="F18" s="41"/>
      <c r="G18" s="184" t="s">
        <v>84</v>
      </c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46">
        <f>R19</f>
        <v>1266478.0300000003</v>
      </c>
      <c r="S18" s="75">
        <f t="shared" si="1"/>
        <v>549000</v>
      </c>
      <c r="T18" s="44">
        <f t="shared" si="1"/>
        <v>281000</v>
      </c>
      <c r="U18" s="44">
        <f t="shared" si="1"/>
        <v>169000</v>
      </c>
      <c r="V18" s="75">
        <f t="shared" si="1"/>
        <v>267478.03</v>
      </c>
      <c r="W18" s="46">
        <f t="shared" si="1"/>
        <v>1096800</v>
      </c>
      <c r="X18" s="97">
        <f t="shared" si="1"/>
        <v>1123000</v>
      </c>
      <c r="Y18" s="42"/>
      <c r="Z18" s="28">
        <f>R18-S18-T18-U18-V18</f>
        <v>0</v>
      </c>
    </row>
    <row r="19" spans="1:26" s="3" customFormat="1" ht="12.75">
      <c r="A19" s="198" t="s">
        <v>109</v>
      </c>
      <c r="B19" s="199"/>
      <c r="C19" s="199"/>
      <c r="D19" s="199"/>
      <c r="E19" s="199"/>
      <c r="F19" s="200"/>
      <c r="G19" s="220" t="s">
        <v>31</v>
      </c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47">
        <f>R20</f>
        <v>1266478.0300000003</v>
      </c>
      <c r="S19" s="77">
        <f t="shared" si="1"/>
        <v>549000</v>
      </c>
      <c r="T19" s="30">
        <f t="shared" si="1"/>
        <v>281000</v>
      </c>
      <c r="U19" s="30">
        <f t="shared" si="1"/>
        <v>169000</v>
      </c>
      <c r="V19" s="77">
        <f t="shared" si="1"/>
        <v>267478.03</v>
      </c>
      <c r="W19" s="47">
        <f t="shared" si="1"/>
        <v>1096800</v>
      </c>
      <c r="X19" s="98">
        <f t="shared" si="1"/>
        <v>1123000</v>
      </c>
      <c r="Y19" s="28">
        <f aca="true" t="shared" si="2" ref="Y19:Y25">SUM(S19:V19)</f>
        <v>1266478.03</v>
      </c>
      <c r="Z19" s="28">
        <f>R19-S19-T19-U19-V19</f>
        <v>0</v>
      </c>
    </row>
    <row r="20" spans="1:26" ht="48.75" customHeight="1">
      <c r="A20" s="192" t="s">
        <v>206</v>
      </c>
      <c r="B20" s="193"/>
      <c r="C20" s="193"/>
      <c r="D20" s="193"/>
      <c r="E20" s="193"/>
      <c r="F20" s="194"/>
      <c r="G20" s="216" t="s">
        <v>207</v>
      </c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48">
        <f>R21</f>
        <v>1266478.0300000003</v>
      </c>
      <c r="S20" s="54">
        <f t="shared" si="1"/>
        <v>549000</v>
      </c>
      <c r="T20" s="31">
        <f t="shared" si="1"/>
        <v>281000</v>
      </c>
      <c r="U20" s="31">
        <f t="shared" si="1"/>
        <v>169000</v>
      </c>
      <c r="V20" s="54">
        <f t="shared" si="1"/>
        <v>267478.03</v>
      </c>
      <c r="W20" s="48">
        <f t="shared" si="1"/>
        <v>1096800</v>
      </c>
      <c r="X20" s="99">
        <f t="shared" si="1"/>
        <v>1123000</v>
      </c>
      <c r="Y20" s="28">
        <f t="shared" si="2"/>
        <v>1266478.03</v>
      </c>
      <c r="Z20" s="28">
        <f aca="true" t="shared" si="3" ref="Z20:Z108">R20-S20-T20-U20-V20</f>
        <v>0</v>
      </c>
    </row>
    <row r="21" spans="1:26" ht="24" customHeight="1">
      <c r="A21" s="192" t="s">
        <v>208</v>
      </c>
      <c r="B21" s="193"/>
      <c r="C21" s="193"/>
      <c r="D21" s="193"/>
      <c r="E21" s="193"/>
      <c r="F21" s="194"/>
      <c r="G21" s="216" t="s">
        <v>209</v>
      </c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48">
        <f>R22</f>
        <v>1266478.0300000003</v>
      </c>
      <c r="S21" s="54">
        <f t="shared" si="1"/>
        <v>549000</v>
      </c>
      <c r="T21" s="31">
        <f t="shared" si="1"/>
        <v>281000</v>
      </c>
      <c r="U21" s="31">
        <f t="shared" si="1"/>
        <v>169000</v>
      </c>
      <c r="V21" s="54">
        <f t="shared" si="1"/>
        <v>267478.03</v>
      </c>
      <c r="W21" s="48">
        <f t="shared" si="1"/>
        <v>1096800</v>
      </c>
      <c r="X21" s="99">
        <f t="shared" si="1"/>
        <v>1123000</v>
      </c>
      <c r="Y21" s="28">
        <f t="shared" si="2"/>
        <v>1266478.03</v>
      </c>
      <c r="Z21" s="28">
        <f>R21-S21-T21-U21-V21</f>
        <v>0</v>
      </c>
    </row>
    <row r="22" spans="1:26" ht="12.75">
      <c r="A22" s="192" t="s">
        <v>211</v>
      </c>
      <c r="B22" s="193"/>
      <c r="C22" s="193"/>
      <c r="D22" s="193"/>
      <c r="E22" s="193"/>
      <c r="F22" s="194"/>
      <c r="G22" s="216" t="s">
        <v>212</v>
      </c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48">
        <f>R23+R24</f>
        <v>1266478.0300000003</v>
      </c>
      <c r="S22" s="54">
        <f aca="true" t="shared" si="4" ref="S22:X22">S23+S24</f>
        <v>549000</v>
      </c>
      <c r="T22" s="31">
        <f t="shared" si="4"/>
        <v>281000</v>
      </c>
      <c r="U22" s="31">
        <f t="shared" si="4"/>
        <v>169000</v>
      </c>
      <c r="V22" s="54">
        <f t="shared" si="4"/>
        <v>267478.03</v>
      </c>
      <c r="W22" s="48">
        <f t="shared" si="4"/>
        <v>1096800</v>
      </c>
      <c r="X22" s="99">
        <f t="shared" si="4"/>
        <v>1123000</v>
      </c>
      <c r="Y22" s="28">
        <f>SUM(S22:V22)</f>
        <v>1266478.03</v>
      </c>
      <c r="Z22" s="28">
        <f>R22-S22-T22-U22-V22</f>
        <v>0</v>
      </c>
    </row>
    <row r="23" spans="1:26" ht="12.75">
      <c r="A23" s="192" t="s">
        <v>210</v>
      </c>
      <c r="B23" s="193"/>
      <c r="C23" s="193"/>
      <c r="D23" s="193"/>
      <c r="E23" s="193"/>
      <c r="F23" s="194"/>
      <c r="G23" s="216" t="s">
        <v>33</v>
      </c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49">
        <f>SUM(S23:V23)</f>
        <v>1056702.3900000001</v>
      </c>
      <c r="S23" s="85">
        <v>422000</v>
      </c>
      <c r="T23" s="86">
        <f>139000+100000</f>
        <v>239000</v>
      </c>
      <c r="U23" s="86">
        <v>139000</v>
      </c>
      <c r="V23" s="85">
        <f>146100+24900+13000+54000-253.59+18955.98</f>
        <v>256702.39</v>
      </c>
      <c r="W23" s="105">
        <v>877400</v>
      </c>
      <c r="X23" s="102">
        <v>898400</v>
      </c>
      <c r="Y23" s="28">
        <f t="shared" si="2"/>
        <v>1056702.3900000001</v>
      </c>
      <c r="Z23" s="28">
        <f t="shared" si="3"/>
        <v>0</v>
      </c>
    </row>
    <row r="24" spans="1:26" ht="12.75">
      <c r="A24" s="192" t="s">
        <v>447</v>
      </c>
      <c r="B24" s="193"/>
      <c r="C24" s="193"/>
      <c r="D24" s="193"/>
      <c r="E24" s="193"/>
      <c r="F24" s="194"/>
      <c r="G24" s="216" t="s">
        <v>34</v>
      </c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49">
        <f>SUM(S24:V24)</f>
        <v>209775.64</v>
      </c>
      <c r="S24" s="85">
        <v>127000</v>
      </c>
      <c r="T24" s="86">
        <v>42000</v>
      </c>
      <c r="U24" s="86">
        <v>30000</v>
      </c>
      <c r="V24" s="85">
        <f>12500-3657.87+1933.51</f>
        <v>10775.640000000001</v>
      </c>
      <c r="W24" s="105">
        <v>219400</v>
      </c>
      <c r="X24" s="102">
        <v>224600</v>
      </c>
      <c r="Y24" s="28">
        <f t="shared" si="2"/>
        <v>209775.64</v>
      </c>
      <c r="Z24" s="28">
        <f t="shared" si="3"/>
        <v>0</v>
      </c>
    </row>
    <row r="25" spans="1:26" s="4" customFormat="1" ht="35.25" customHeight="1">
      <c r="A25" s="201" t="s">
        <v>110</v>
      </c>
      <c r="B25" s="202"/>
      <c r="C25" s="202"/>
      <c r="D25" s="202"/>
      <c r="E25" s="202"/>
      <c r="F25" s="185"/>
      <c r="G25" s="182" t="s">
        <v>35</v>
      </c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34">
        <f>R27</f>
        <v>8087080.23</v>
      </c>
      <c r="S25" s="53">
        <f aca="true" t="shared" si="5" ref="S25:X25">S27</f>
        <v>2614908.71</v>
      </c>
      <c r="T25" s="29">
        <f t="shared" si="5"/>
        <v>1900977.6</v>
      </c>
      <c r="U25" s="29">
        <f t="shared" si="5"/>
        <v>1837503.3</v>
      </c>
      <c r="V25" s="53">
        <f t="shared" si="5"/>
        <v>1733690.6199999996</v>
      </c>
      <c r="W25" s="34">
        <f t="shared" si="5"/>
        <v>7380192</v>
      </c>
      <c r="X25" s="96">
        <f t="shared" si="5"/>
        <v>7557092</v>
      </c>
      <c r="Y25" s="28">
        <f t="shared" si="2"/>
        <v>8087080.23</v>
      </c>
      <c r="Z25" s="28">
        <f t="shared" si="3"/>
        <v>0</v>
      </c>
    </row>
    <row r="26" spans="1:26" s="43" customFormat="1" ht="24" customHeight="1">
      <c r="A26" s="186" t="s">
        <v>111</v>
      </c>
      <c r="B26" s="181"/>
      <c r="C26" s="181"/>
      <c r="D26" s="181"/>
      <c r="E26" s="181"/>
      <c r="F26" s="41"/>
      <c r="G26" s="184" t="s">
        <v>84</v>
      </c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46">
        <f>R27</f>
        <v>8087080.23</v>
      </c>
      <c r="S26" s="75">
        <f aca="true" t="shared" si="6" ref="S26:X26">S27</f>
        <v>2614908.71</v>
      </c>
      <c r="T26" s="44">
        <f t="shared" si="6"/>
        <v>1900977.6</v>
      </c>
      <c r="U26" s="44">
        <f t="shared" si="6"/>
        <v>1837503.3</v>
      </c>
      <c r="V26" s="75">
        <f t="shared" si="6"/>
        <v>1733690.6199999996</v>
      </c>
      <c r="W26" s="46">
        <f t="shared" si="6"/>
        <v>7380192</v>
      </c>
      <c r="X26" s="97">
        <f t="shared" si="6"/>
        <v>7557092</v>
      </c>
      <c r="Y26" s="42"/>
      <c r="Z26" s="28">
        <f t="shared" si="3"/>
        <v>0</v>
      </c>
    </row>
    <row r="27" spans="1:26" s="3" customFormat="1" ht="16.5" customHeight="1">
      <c r="A27" s="198" t="s">
        <v>112</v>
      </c>
      <c r="B27" s="199"/>
      <c r="C27" s="199"/>
      <c r="D27" s="199"/>
      <c r="E27" s="199"/>
      <c r="F27" s="200"/>
      <c r="G27" s="220" t="s">
        <v>36</v>
      </c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47">
        <f>R28+R35+R47</f>
        <v>8087080.23</v>
      </c>
      <c r="S27" s="77">
        <f aca="true" t="shared" si="7" ref="S27:X27">S28+S35+S47</f>
        <v>2614908.71</v>
      </c>
      <c r="T27" s="30">
        <f t="shared" si="7"/>
        <v>1900977.6</v>
      </c>
      <c r="U27" s="30">
        <f t="shared" si="7"/>
        <v>1837503.3</v>
      </c>
      <c r="V27" s="77">
        <f t="shared" si="7"/>
        <v>1733690.6199999996</v>
      </c>
      <c r="W27" s="47">
        <f t="shared" si="7"/>
        <v>7380192</v>
      </c>
      <c r="X27" s="98">
        <f t="shared" si="7"/>
        <v>7557092</v>
      </c>
      <c r="Y27" s="28">
        <f>SUM(S27:V27)</f>
        <v>8087080.23</v>
      </c>
      <c r="Z27" s="28">
        <f t="shared" si="3"/>
        <v>0</v>
      </c>
    </row>
    <row r="28" spans="1:26" ht="48.75" customHeight="1">
      <c r="A28" s="192" t="s">
        <v>213</v>
      </c>
      <c r="B28" s="193"/>
      <c r="C28" s="193"/>
      <c r="D28" s="193"/>
      <c r="E28" s="193"/>
      <c r="F28" s="194"/>
      <c r="G28" s="216" t="s">
        <v>207</v>
      </c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48">
        <f>R29</f>
        <v>7748404.11</v>
      </c>
      <c r="S28" s="54">
        <f aca="true" t="shared" si="8" ref="S28:X28">S29</f>
        <v>2505000</v>
      </c>
      <c r="T28" s="31">
        <f t="shared" si="8"/>
        <v>1791244.6</v>
      </c>
      <c r="U28" s="31">
        <f t="shared" si="8"/>
        <v>1742805.3</v>
      </c>
      <c r="V28" s="54">
        <f t="shared" si="8"/>
        <v>1709354.2099999997</v>
      </c>
      <c r="W28" s="48">
        <f t="shared" si="8"/>
        <v>6942900</v>
      </c>
      <c r="X28" s="99">
        <f t="shared" si="8"/>
        <v>7119800</v>
      </c>
      <c r="Y28" s="28">
        <f>SUM(S28:V28)</f>
        <v>7748404.109999999</v>
      </c>
      <c r="Z28" s="28">
        <f>R28-S28-T28-U28-V28</f>
        <v>0</v>
      </c>
    </row>
    <row r="29" spans="1:26" ht="24" customHeight="1">
      <c r="A29" s="192" t="s">
        <v>214</v>
      </c>
      <c r="B29" s="193"/>
      <c r="C29" s="193"/>
      <c r="D29" s="193"/>
      <c r="E29" s="193"/>
      <c r="F29" s="194"/>
      <c r="G29" s="216" t="s">
        <v>209</v>
      </c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48">
        <f>R30+R33</f>
        <v>7748404.11</v>
      </c>
      <c r="S29" s="54">
        <f aca="true" t="shared" si="9" ref="S29:X29">S30+S33</f>
        <v>2505000</v>
      </c>
      <c r="T29" s="31">
        <f t="shared" si="9"/>
        <v>1791244.6</v>
      </c>
      <c r="U29" s="31">
        <f t="shared" si="9"/>
        <v>1742805.3</v>
      </c>
      <c r="V29" s="54">
        <f t="shared" si="9"/>
        <v>1709354.2099999997</v>
      </c>
      <c r="W29" s="48">
        <f t="shared" si="9"/>
        <v>6942900</v>
      </c>
      <c r="X29" s="99">
        <f t="shared" si="9"/>
        <v>7119800</v>
      </c>
      <c r="Y29" s="28">
        <f>SUM(S29:V29)</f>
        <v>7748404.109999999</v>
      </c>
      <c r="Z29" s="28">
        <f>R29-S29-T29-U29-V29</f>
        <v>0</v>
      </c>
    </row>
    <row r="30" spans="1:26" ht="12.75">
      <c r="A30" s="192" t="s">
        <v>215</v>
      </c>
      <c r="B30" s="193"/>
      <c r="C30" s="193"/>
      <c r="D30" s="193"/>
      <c r="E30" s="193"/>
      <c r="F30" s="194"/>
      <c r="G30" s="216" t="s">
        <v>212</v>
      </c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48">
        <f>R31+R32</f>
        <v>7746604.11</v>
      </c>
      <c r="S30" s="54">
        <f aca="true" t="shared" si="10" ref="S30:X30">S31+S32</f>
        <v>2505000</v>
      </c>
      <c r="T30" s="31">
        <f t="shared" si="10"/>
        <v>1791244.6</v>
      </c>
      <c r="U30" s="31">
        <f t="shared" si="10"/>
        <v>1741005.3</v>
      </c>
      <c r="V30" s="54">
        <f t="shared" si="10"/>
        <v>1709354.2099999997</v>
      </c>
      <c r="W30" s="48">
        <f t="shared" si="10"/>
        <v>6937900</v>
      </c>
      <c r="X30" s="99">
        <f t="shared" si="10"/>
        <v>7114800</v>
      </c>
      <c r="Y30" s="28">
        <f>SUM(S30:V30)</f>
        <v>7746604.109999999</v>
      </c>
      <c r="Z30" s="28">
        <f t="shared" si="3"/>
        <v>0</v>
      </c>
    </row>
    <row r="31" spans="1:26" ht="12.75">
      <c r="A31" s="192" t="s">
        <v>216</v>
      </c>
      <c r="B31" s="193"/>
      <c r="C31" s="193"/>
      <c r="D31" s="193"/>
      <c r="E31" s="193"/>
      <c r="F31" s="194"/>
      <c r="G31" s="216" t="s">
        <v>33</v>
      </c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49">
        <f aca="true" t="shared" si="11" ref="R31:R46">SUM(S31:V31)</f>
        <v>6139125.29</v>
      </c>
      <c r="S31" s="85">
        <v>1925000</v>
      </c>
      <c r="T31" s="86">
        <f>1175000+200000+61244.6</f>
        <v>1436244.6</v>
      </c>
      <c r="U31" s="86">
        <f>1253000+113005.3</f>
        <v>1366005.3</v>
      </c>
      <c r="V31" s="85">
        <f>861400-61244.6+100000+198656+200000+26462.29+71804.94-101439.35+110583.96+42268.67-504.6-36111.92</f>
        <v>1411875.3899999997</v>
      </c>
      <c r="W31" s="105">
        <v>5420200</v>
      </c>
      <c r="X31" s="102">
        <v>5558400</v>
      </c>
      <c r="Y31" s="28">
        <f>SUM(S31:X31)</f>
        <v>17117725.29</v>
      </c>
      <c r="Z31" s="28">
        <f t="shared" si="3"/>
        <v>0</v>
      </c>
    </row>
    <row r="32" spans="1:26" ht="12.75">
      <c r="A32" s="192" t="s">
        <v>217</v>
      </c>
      <c r="B32" s="193"/>
      <c r="C32" s="193"/>
      <c r="D32" s="193"/>
      <c r="E32" s="193"/>
      <c r="F32" s="194"/>
      <c r="G32" s="216" t="s">
        <v>34</v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49">
        <f>SUM(S32:V32)</f>
        <v>1607478.82</v>
      </c>
      <c r="S32" s="85">
        <f>580000</f>
        <v>580000</v>
      </c>
      <c r="T32" s="86">
        <f>355000</f>
        <v>355000</v>
      </c>
      <c r="U32" s="86">
        <f>375000</f>
        <v>375000</v>
      </c>
      <c r="V32" s="85">
        <f>150000+50000+80000+121100-121705.42+17579.64+504.6</f>
        <v>297478.82</v>
      </c>
      <c r="W32" s="105">
        <v>1517700</v>
      </c>
      <c r="X32" s="102">
        <v>1556400</v>
      </c>
      <c r="Y32" s="28">
        <f>SUM(S32:X32)</f>
        <v>4681578.82</v>
      </c>
      <c r="Z32" s="28">
        <f>R32-S32-T32-U32-V32</f>
        <v>0</v>
      </c>
    </row>
    <row r="33" spans="1:26" ht="12.75">
      <c r="A33" s="192" t="s">
        <v>218</v>
      </c>
      <c r="B33" s="193"/>
      <c r="C33" s="193"/>
      <c r="D33" s="193"/>
      <c r="E33" s="193"/>
      <c r="F33" s="194"/>
      <c r="G33" s="216" t="s">
        <v>219</v>
      </c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48">
        <f>R34</f>
        <v>1800</v>
      </c>
      <c r="S33" s="54">
        <f aca="true" t="shared" si="12" ref="S33:X33">S34</f>
        <v>0</v>
      </c>
      <c r="T33" s="31">
        <f t="shared" si="12"/>
        <v>0</v>
      </c>
      <c r="U33" s="31">
        <f t="shared" si="12"/>
        <v>1800</v>
      </c>
      <c r="V33" s="54">
        <f t="shared" si="12"/>
        <v>0</v>
      </c>
      <c r="W33" s="48">
        <f t="shared" si="12"/>
        <v>5000</v>
      </c>
      <c r="X33" s="99">
        <f t="shared" si="12"/>
        <v>5000</v>
      </c>
      <c r="Y33" s="28">
        <f>SUM(S33:V33)</f>
        <v>1800</v>
      </c>
      <c r="Z33" s="28">
        <f>R33-S33-T33-U33-V33</f>
        <v>0</v>
      </c>
    </row>
    <row r="34" spans="1:26" ht="12.75">
      <c r="A34" s="192" t="s">
        <v>220</v>
      </c>
      <c r="B34" s="193"/>
      <c r="C34" s="193"/>
      <c r="D34" s="193"/>
      <c r="E34" s="193"/>
      <c r="F34" s="194"/>
      <c r="G34" s="216" t="s">
        <v>37</v>
      </c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49">
        <f t="shared" si="11"/>
        <v>1800</v>
      </c>
      <c r="S34" s="85">
        <f>2500-2500</f>
        <v>0</v>
      </c>
      <c r="T34" s="86">
        <v>0</v>
      </c>
      <c r="U34" s="86">
        <f>2500-500-200</f>
        <v>1800</v>
      </c>
      <c r="V34" s="85">
        <v>0</v>
      </c>
      <c r="W34" s="105">
        <v>5000</v>
      </c>
      <c r="X34" s="102">
        <f>W34</f>
        <v>5000</v>
      </c>
      <c r="Y34" s="28">
        <f>SUM(S34:X34)</f>
        <v>11800</v>
      </c>
      <c r="Z34" s="28">
        <f t="shared" si="3"/>
        <v>0</v>
      </c>
    </row>
    <row r="35" spans="1:26" ht="12.75">
      <c r="A35" s="192" t="s">
        <v>221</v>
      </c>
      <c r="B35" s="193"/>
      <c r="C35" s="193"/>
      <c r="D35" s="193"/>
      <c r="E35" s="193"/>
      <c r="F35" s="194"/>
      <c r="G35" s="216" t="s">
        <v>236</v>
      </c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48">
        <f>R36</f>
        <v>337384.12</v>
      </c>
      <c r="S35" s="54">
        <f aca="true" t="shared" si="13" ref="S35:X36">S36</f>
        <v>109585.70999999999</v>
      </c>
      <c r="T35" s="31">
        <f t="shared" si="13"/>
        <v>109410</v>
      </c>
      <c r="U35" s="31">
        <f t="shared" si="13"/>
        <v>94375</v>
      </c>
      <c r="V35" s="54">
        <f t="shared" si="13"/>
        <v>24013.41</v>
      </c>
      <c r="W35" s="48">
        <f t="shared" si="13"/>
        <v>436000</v>
      </c>
      <c r="X35" s="99">
        <f t="shared" si="13"/>
        <v>436000</v>
      </c>
      <c r="Y35" s="28">
        <f>SUM(S35:V35)</f>
        <v>337384.11999999994</v>
      </c>
      <c r="Z35" s="28">
        <f t="shared" si="3"/>
        <v>0</v>
      </c>
    </row>
    <row r="36" spans="1:26" ht="24" customHeight="1">
      <c r="A36" s="192" t="s">
        <v>222</v>
      </c>
      <c r="B36" s="193"/>
      <c r="C36" s="193"/>
      <c r="D36" s="193"/>
      <c r="E36" s="193"/>
      <c r="F36" s="194"/>
      <c r="G36" s="216" t="s">
        <v>190</v>
      </c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48">
        <f>R37</f>
        <v>337384.12</v>
      </c>
      <c r="S36" s="54">
        <f t="shared" si="13"/>
        <v>109585.70999999999</v>
      </c>
      <c r="T36" s="31">
        <f t="shared" si="13"/>
        <v>109410</v>
      </c>
      <c r="U36" s="31">
        <f t="shared" si="13"/>
        <v>94375</v>
      </c>
      <c r="V36" s="54">
        <f t="shared" si="13"/>
        <v>24013.41</v>
      </c>
      <c r="W36" s="48">
        <f t="shared" si="13"/>
        <v>436000</v>
      </c>
      <c r="X36" s="99">
        <f t="shared" si="13"/>
        <v>436000</v>
      </c>
      <c r="Y36" s="28">
        <f>SUM(S36:V36)</f>
        <v>337384.11999999994</v>
      </c>
      <c r="Z36" s="28">
        <f>R36-S36-T36-U36-V36</f>
        <v>0</v>
      </c>
    </row>
    <row r="37" spans="1:26" ht="24" customHeight="1">
      <c r="A37" s="192" t="s">
        <v>223</v>
      </c>
      <c r="B37" s="193"/>
      <c r="C37" s="193"/>
      <c r="D37" s="193"/>
      <c r="E37" s="193"/>
      <c r="F37" s="194"/>
      <c r="G37" s="216" t="s">
        <v>237</v>
      </c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48">
        <f>SUM(R38:R46)</f>
        <v>337384.12</v>
      </c>
      <c r="S37" s="54">
        <f aca="true" t="shared" si="14" ref="S37:X37">SUM(S38:S46)</f>
        <v>109585.70999999999</v>
      </c>
      <c r="T37" s="31">
        <f t="shared" si="14"/>
        <v>109410</v>
      </c>
      <c r="U37" s="31">
        <f t="shared" si="14"/>
        <v>94375</v>
      </c>
      <c r="V37" s="54">
        <f t="shared" si="14"/>
        <v>24013.41</v>
      </c>
      <c r="W37" s="48">
        <f t="shared" si="14"/>
        <v>436000</v>
      </c>
      <c r="X37" s="99">
        <f t="shared" si="14"/>
        <v>436000</v>
      </c>
      <c r="Y37" s="28">
        <f>SUM(S37:V37)</f>
        <v>337384.11999999994</v>
      </c>
      <c r="Z37" s="28">
        <f>R37-S37-T37-U37-V37</f>
        <v>0</v>
      </c>
    </row>
    <row r="38" spans="1:26" ht="12.75">
      <c r="A38" s="192" t="s">
        <v>228</v>
      </c>
      <c r="B38" s="193"/>
      <c r="C38" s="193"/>
      <c r="D38" s="193"/>
      <c r="E38" s="193"/>
      <c r="F38" s="194"/>
      <c r="G38" s="216" t="s">
        <v>38</v>
      </c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49">
        <f t="shared" si="11"/>
        <v>71420.41</v>
      </c>
      <c r="S38" s="85">
        <f>18250</f>
        <v>18250</v>
      </c>
      <c r="T38" s="86">
        <f>18250</f>
        <v>18250</v>
      </c>
      <c r="U38" s="86">
        <f>18250</f>
        <v>18250</v>
      </c>
      <c r="V38" s="85">
        <f>18250-4000+2420.41</f>
        <v>16670.41</v>
      </c>
      <c r="W38" s="105">
        <v>73000</v>
      </c>
      <c r="X38" s="102">
        <f aca="true" t="shared" si="15" ref="X38:X46">W38</f>
        <v>73000</v>
      </c>
      <c r="Y38" s="28">
        <f>SUM(S38:X38)</f>
        <v>217420.41</v>
      </c>
      <c r="Z38" s="28">
        <f t="shared" si="3"/>
        <v>0</v>
      </c>
    </row>
    <row r="39" spans="1:26" ht="12.75">
      <c r="A39" s="192" t="s">
        <v>229</v>
      </c>
      <c r="B39" s="193"/>
      <c r="C39" s="193"/>
      <c r="D39" s="193"/>
      <c r="E39" s="193"/>
      <c r="F39" s="194"/>
      <c r="G39" s="216" t="s">
        <v>39</v>
      </c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49">
        <f t="shared" si="11"/>
        <v>4080</v>
      </c>
      <c r="S39" s="85">
        <v>0</v>
      </c>
      <c r="T39" s="86">
        <v>0</v>
      </c>
      <c r="U39" s="86">
        <v>0</v>
      </c>
      <c r="V39" s="85">
        <f>4080</f>
        <v>4080</v>
      </c>
      <c r="W39" s="105">
        <v>0</v>
      </c>
      <c r="X39" s="102">
        <v>0</v>
      </c>
      <c r="Y39" s="28">
        <f>SUM(S39:V39)</f>
        <v>4080</v>
      </c>
      <c r="Z39" s="28">
        <f t="shared" si="3"/>
        <v>0</v>
      </c>
    </row>
    <row r="40" spans="1:26" ht="12.75" hidden="1">
      <c r="A40" s="192" t="s">
        <v>230</v>
      </c>
      <c r="B40" s="193"/>
      <c r="C40" s="193"/>
      <c r="D40" s="193"/>
      <c r="E40" s="193"/>
      <c r="F40" s="194"/>
      <c r="G40" s="216" t="s">
        <v>40</v>
      </c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49">
        <f t="shared" si="11"/>
        <v>0</v>
      </c>
      <c r="S40" s="85">
        <v>0</v>
      </c>
      <c r="T40" s="86">
        <v>0</v>
      </c>
      <c r="U40" s="86">
        <v>0</v>
      </c>
      <c r="V40" s="85">
        <v>0</v>
      </c>
      <c r="W40" s="105">
        <f>R40</f>
        <v>0</v>
      </c>
      <c r="X40" s="102">
        <f t="shared" si="15"/>
        <v>0</v>
      </c>
      <c r="Y40" s="28">
        <f aca="true" t="shared" si="16" ref="Y40:Y46">SUM(S40:X40)</f>
        <v>0</v>
      </c>
      <c r="Z40" s="28">
        <f t="shared" si="3"/>
        <v>0</v>
      </c>
    </row>
    <row r="41" spans="1:26" ht="12.75" hidden="1">
      <c r="A41" s="192" t="s">
        <v>231</v>
      </c>
      <c r="B41" s="193"/>
      <c r="C41" s="193"/>
      <c r="D41" s="193"/>
      <c r="E41" s="193"/>
      <c r="F41" s="194"/>
      <c r="G41" s="216" t="s">
        <v>41</v>
      </c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49">
        <f t="shared" si="11"/>
        <v>0</v>
      </c>
      <c r="S41" s="85">
        <v>0</v>
      </c>
      <c r="T41" s="86">
        <v>0</v>
      </c>
      <c r="U41" s="86">
        <v>0</v>
      </c>
      <c r="V41" s="85">
        <v>0</v>
      </c>
      <c r="W41" s="105">
        <f>R41</f>
        <v>0</v>
      </c>
      <c r="X41" s="102">
        <f t="shared" si="15"/>
        <v>0</v>
      </c>
      <c r="Y41" s="28">
        <f t="shared" si="16"/>
        <v>0</v>
      </c>
      <c r="Z41" s="28">
        <f t="shared" si="3"/>
        <v>0</v>
      </c>
    </row>
    <row r="42" spans="1:26" ht="12.75">
      <c r="A42" s="192" t="s">
        <v>232</v>
      </c>
      <c r="B42" s="193"/>
      <c r="C42" s="193"/>
      <c r="D42" s="193"/>
      <c r="E42" s="193"/>
      <c r="F42" s="194"/>
      <c r="G42" s="216" t="s">
        <v>42</v>
      </c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49">
        <f t="shared" si="11"/>
        <v>34335.71</v>
      </c>
      <c r="S42" s="85">
        <f>18000-1664.29</f>
        <v>16335.71</v>
      </c>
      <c r="T42" s="86">
        <f>16000</f>
        <v>16000</v>
      </c>
      <c r="U42" s="86">
        <f>13000-8000-3000</f>
        <v>2000</v>
      </c>
      <c r="V42" s="85">
        <f>16000-10000-330-4080-1590</f>
        <v>0</v>
      </c>
      <c r="W42" s="105">
        <v>63000</v>
      </c>
      <c r="X42" s="102">
        <f t="shared" si="15"/>
        <v>63000</v>
      </c>
      <c r="Y42" s="28">
        <f t="shared" si="16"/>
        <v>160335.71</v>
      </c>
      <c r="Z42" s="28">
        <f t="shared" si="3"/>
        <v>0</v>
      </c>
    </row>
    <row r="43" spans="1:26" ht="12.75" customHeight="1" hidden="1">
      <c r="A43" s="192" t="s">
        <v>233</v>
      </c>
      <c r="B43" s="193"/>
      <c r="C43" s="193"/>
      <c r="D43" s="193"/>
      <c r="E43" s="193"/>
      <c r="F43" s="194"/>
      <c r="G43" s="216" t="s">
        <v>81</v>
      </c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49">
        <f>SUM(S43:V43)</f>
        <v>0</v>
      </c>
      <c r="S43" s="85">
        <v>0</v>
      </c>
      <c r="T43" s="86">
        <v>0</v>
      </c>
      <c r="U43" s="86">
        <v>0</v>
      </c>
      <c r="V43" s="85">
        <v>0</v>
      </c>
      <c r="W43" s="105">
        <f>R43</f>
        <v>0</v>
      </c>
      <c r="X43" s="102">
        <f t="shared" si="15"/>
        <v>0</v>
      </c>
      <c r="Y43" s="28">
        <f t="shared" si="16"/>
        <v>0</v>
      </c>
      <c r="Z43" s="28">
        <f t="shared" si="3"/>
        <v>0</v>
      </c>
    </row>
    <row r="44" spans="1:26" ht="12.75" customHeight="1">
      <c r="A44" s="192" t="s">
        <v>415</v>
      </c>
      <c r="B44" s="193"/>
      <c r="C44" s="193"/>
      <c r="D44" s="193"/>
      <c r="E44" s="193"/>
      <c r="F44" s="194"/>
      <c r="G44" s="216" t="s">
        <v>46</v>
      </c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49">
        <f>SUM(S44:V44)</f>
        <v>1835</v>
      </c>
      <c r="S44" s="85">
        <v>285</v>
      </c>
      <c r="T44" s="86">
        <f>900+160+160</f>
        <v>1220</v>
      </c>
      <c r="U44" s="86">
        <v>0</v>
      </c>
      <c r="V44" s="85">
        <f>330</f>
        <v>330</v>
      </c>
      <c r="W44" s="105">
        <v>0</v>
      </c>
      <c r="X44" s="102">
        <v>0</v>
      </c>
      <c r="Y44" s="28">
        <f>SUM(S44:X44)</f>
        <v>1835</v>
      </c>
      <c r="Z44" s="28">
        <f>R44-S44-T44-U44-V44</f>
        <v>0</v>
      </c>
    </row>
    <row r="45" spans="1:26" ht="12.75" customHeight="1">
      <c r="A45" s="192" t="s">
        <v>234</v>
      </c>
      <c r="B45" s="193"/>
      <c r="C45" s="193"/>
      <c r="D45" s="193"/>
      <c r="E45" s="193"/>
      <c r="F45" s="194"/>
      <c r="G45" s="216" t="s">
        <v>43</v>
      </c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49">
        <f t="shared" si="11"/>
        <v>8183</v>
      </c>
      <c r="S45" s="85">
        <v>750</v>
      </c>
      <c r="T45" s="86">
        <v>4500</v>
      </c>
      <c r="U45" s="86">
        <v>0</v>
      </c>
      <c r="V45" s="85">
        <f>1400+893+640</f>
        <v>2933</v>
      </c>
      <c r="W45" s="105">
        <v>0</v>
      </c>
      <c r="X45" s="102">
        <f t="shared" si="15"/>
        <v>0</v>
      </c>
      <c r="Y45" s="28">
        <f t="shared" si="16"/>
        <v>8183</v>
      </c>
      <c r="Z45" s="28">
        <f t="shared" si="3"/>
        <v>0</v>
      </c>
    </row>
    <row r="46" spans="1:26" ht="12.75">
      <c r="A46" s="192" t="s">
        <v>235</v>
      </c>
      <c r="B46" s="193"/>
      <c r="C46" s="193"/>
      <c r="D46" s="193"/>
      <c r="E46" s="193"/>
      <c r="F46" s="194"/>
      <c r="G46" s="224" t="s">
        <v>70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49">
        <f t="shared" si="11"/>
        <v>217530</v>
      </c>
      <c r="S46" s="78">
        <f>75000-285-750</f>
        <v>73965</v>
      </c>
      <c r="T46" s="32">
        <f>75000-4500-900-160</f>
        <v>69440</v>
      </c>
      <c r="U46" s="32">
        <f>75000-875</f>
        <v>74125</v>
      </c>
      <c r="V46" s="78">
        <f>75000-160-40000-1400-6560-13440-12420.41-1019.59</f>
        <v>0</v>
      </c>
      <c r="W46" s="105">
        <v>300000</v>
      </c>
      <c r="X46" s="102">
        <f t="shared" si="15"/>
        <v>300000</v>
      </c>
      <c r="Y46" s="28">
        <f t="shared" si="16"/>
        <v>817530</v>
      </c>
      <c r="Z46" s="28">
        <f t="shared" si="3"/>
        <v>0</v>
      </c>
    </row>
    <row r="47" spans="1:26" ht="12.75" customHeight="1">
      <c r="A47" s="192" t="s">
        <v>224</v>
      </c>
      <c r="B47" s="193"/>
      <c r="C47" s="193"/>
      <c r="D47" s="193"/>
      <c r="E47" s="193"/>
      <c r="F47" s="194"/>
      <c r="G47" s="216" t="s">
        <v>238</v>
      </c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48">
        <f>R48</f>
        <v>1292</v>
      </c>
      <c r="S47" s="54">
        <f aca="true" t="shared" si="17" ref="S47:X49">S48</f>
        <v>323</v>
      </c>
      <c r="T47" s="31">
        <f t="shared" si="17"/>
        <v>323</v>
      </c>
      <c r="U47" s="31">
        <f t="shared" si="17"/>
        <v>323</v>
      </c>
      <c r="V47" s="54">
        <f t="shared" si="17"/>
        <v>323</v>
      </c>
      <c r="W47" s="48">
        <f t="shared" si="17"/>
        <v>1292</v>
      </c>
      <c r="X47" s="99">
        <f t="shared" si="17"/>
        <v>1292</v>
      </c>
      <c r="Y47" s="28">
        <f>SUM(S47:V47)</f>
        <v>1292</v>
      </c>
      <c r="Z47" s="28">
        <f>R47-S47-T47-U47-V47</f>
        <v>0</v>
      </c>
    </row>
    <row r="48" spans="1:26" ht="12.75" customHeight="1">
      <c r="A48" s="192" t="s">
        <v>225</v>
      </c>
      <c r="B48" s="193"/>
      <c r="C48" s="193"/>
      <c r="D48" s="193"/>
      <c r="E48" s="193"/>
      <c r="F48" s="194"/>
      <c r="G48" s="216" t="s">
        <v>239</v>
      </c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48">
        <f>R49</f>
        <v>1292</v>
      </c>
      <c r="S48" s="54">
        <f t="shared" si="17"/>
        <v>323</v>
      </c>
      <c r="T48" s="31">
        <f t="shared" si="17"/>
        <v>323</v>
      </c>
      <c r="U48" s="31">
        <f t="shared" si="17"/>
        <v>323</v>
      </c>
      <c r="V48" s="54">
        <f t="shared" si="17"/>
        <v>323</v>
      </c>
      <c r="W48" s="48">
        <f t="shared" si="17"/>
        <v>1292</v>
      </c>
      <c r="X48" s="99">
        <f t="shared" si="17"/>
        <v>1292</v>
      </c>
      <c r="Y48" s="28">
        <f>SUM(S48:V48)</f>
        <v>1292</v>
      </c>
      <c r="Z48" s="28">
        <f>R48-S48-T48-U48-V48</f>
        <v>0</v>
      </c>
    </row>
    <row r="49" spans="1:26" ht="12.75" customHeight="1">
      <c r="A49" s="192" t="s">
        <v>226</v>
      </c>
      <c r="B49" s="193"/>
      <c r="C49" s="193"/>
      <c r="D49" s="193"/>
      <c r="E49" s="193"/>
      <c r="F49" s="194"/>
      <c r="G49" s="216" t="s">
        <v>240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48">
        <f>R50</f>
        <v>1292</v>
      </c>
      <c r="S49" s="54">
        <f t="shared" si="17"/>
        <v>323</v>
      </c>
      <c r="T49" s="31">
        <f t="shared" si="17"/>
        <v>323</v>
      </c>
      <c r="U49" s="31">
        <f t="shared" si="17"/>
        <v>323</v>
      </c>
      <c r="V49" s="54">
        <f t="shared" si="17"/>
        <v>323</v>
      </c>
      <c r="W49" s="48">
        <f t="shared" si="17"/>
        <v>1292</v>
      </c>
      <c r="X49" s="99">
        <f t="shared" si="17"/>
        <v>1292</v>
      </c>
      <c r="Y49" s="28">
        <f>SUM(S49:V49)</f>
        <v>1292</v>
      </c>
      <c r="Z49" s="28">
        <f>R49-S49-T49-U49-V49</f>
        <v>0</v>
      </c>
    </row>
    <row r="50" spans="1:26" ht="12.75" customHeight="1">
      <c r="A50" s="192" t="s">
        <v>227</v>
      </c>
      <c r="B50" s="193"/>
      <c r="C50" s="193"/>
      <c r="D50" s="193"/>
      <c r="E50" s="193"/>
      <c r="F50" s="194"/>
      <c r="G50" s="216" t="s">
        <v>46</v>
      </c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49">
        <f>SUM(S50:V50)</f>
        <v>1292</v>
      </c>
      <c r="S50" s="85">
        <f>323</f>
        <v>323</v>
      </c>
      <c r="T50" s="86">
        <f>323</f>
        <v>323</v>
      </c>
      <c r="U50" s="86">
        <f>323</f>
        <v>323</v>
      </c>
      <c r="V50" s="85">
        <f>331-8</f>
        <v>323</v>
      </c>
      <c r="W50" s="105">
        <f>R50</f>
        <v>1292</v>
      </c>
      <c r="X50" s="102">
        <f>W50</f>
        <v>1292</v>
      </c>
      <c r="Y50" s="28">
        <f>SUM(S50:X50)</f>
        <v>3876</v>
      </c>
      <c r="Z50" s="28">
        <f>R50-S50-T50-U50-V50</f>
        <v>0</v>
      </c>
    </row>
    <row r="51" spans="1:26" s="4" customFormat="1" ht="17.25" customHeight="1" hidden="1">
      <c r="A51" s="267" t="s">
        <v>152</v>
      </c>
      <c r="B51" s="268"/>
      <c r="C51" s="268"/>
      <c r="D51" s="268"/>
      <c r="E51" s="268"/>
      <c r="F51" s="269"/>
      <c r="G51" s="270" t="s">
        <v>74</v>
      </c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34">
        <f>R52</f>
        <v>0</v>
      </c>
      <c r="S51" s="53">
        <f>S52</f>
        <v>0</v>
      </c>
      <c r="T51" s="29">
        <f>T52</f>
        <v>0</v>
      </c>
      <c r="U51" s="29">
        <f>U52</f>
        <v>0</v>
      </c>
      <c r="V51" s="53">
        <f>V52</f>
        <v>0</v>
      </c>
      <c r="W51" s="34"/>
      <c r="X51" s="96"/>
      <c r="Y51" s="28">
        <f aca="true" t="shared" si="18" ref="Y51:Y56">SUM(S51:V51)</f>
        <v>0</v>
      </c>
      <c r="Z51" s="28">
        <f t="shared" si="3"/>
        <v>0</v>
      </c>
    </row>
    <row r="52" spans="1:26" s="3" customFormat="1" ht="16.5" customHeight="1" hidden="1">
      <c r="A52" s="272" t="s">
        <v>153</v>
      </c>
      <c r="B52" s="273"/>
      <c r="C52" s="273"/>
      <c r="D52" s="273"/>
      <c r="E52" s="273"/>
      <c r="F52" s="274"/>
      <c r="G52" s="275" t="s">
        <v>75</v>
      </c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47">
        <f>R53+R55</f>
        <v>0</v>
      </c>
      <c r="S52" s="77">
        <f>S53+S55</f>
        <v>0</v>
      </c>
      <c r="T52" s="30">
        <f>T53+T55</f>
        <v>0</v>
      </c>
      <c r="U52" s="30">
        <f>U53+U55</f>
        <v>0</v>
      </c>
      <c r="V52" s="77">
        <f>V53+V55</f>
        <v>0</v>
      </c>
      <c r="W52" s="47"/>
      <c r="X52" s="98"/>
      <c r="Y52" s="28">
        <f t="shared" si="18"/>
        <v>0</v>
      </c>
      <c r="Z52" s="28">
        <f t="shared" si="3"/>
        <v>0</v>
      </c>
    </row>
    <row r="53" spans="1:26" ht="16.5" customHeight="1" hidden="1">
      <c r="A53" s="228" t="s">
        <v>154</v>
      </c>
      <c r="B53" s="229"/>
      <c r="C53" s="229"/>
      <c r="D53" s="229"/>
      <c r="E53" s="229"/>
      <c r="F53" s="230"/>
      <c r="G53" s="277" t="s">
        <v>32</v>
      </c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48">
        <f>R54</f>
        <v>0</v>
      </c>
      <c r="S53" s="54">
        <f>S54</f>
        <v>0</v>
      </c>
      <c r="T53" s="31">
        <f>T54</f>
        <v>0</v>
      </c>
      <c r="U53" s="31">
        <f>U54</f>
        <v>0</v>
      </c>
      <c r="V53" s="54">
        <f>V54</f>
        <v>0</v>
      </c>
      <c r="W53" s="48"/>
      <c r="X53" s="99"/>
      <c r="Y53" s="28">
        <f t="shared" si="18"/>
        <v>0</v>
      </c>
      <c r="Z53" s="28">
        <f t="shared" si="3"/>
        <v>0</v>
      </c>
    </row>
    <row r="54" spans="1:26" ht="16.5" customHeight="1" hidden="1">
      <c r="A54" s="228" t="s">
        <v>155</v>
      </c>
      <c r="B54" s="229"/>
      <c r="C54" s="229"/>
      <c r="D54" s="229"/>
      <c r="E54" s="229"/>
      <c r="F54" s="230"/>
      <c r="G54" s="279" t="s">
        <v>71</v>
      </c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49">
        <f>SUM(S54:V54)</f>
        <v>0</v>
      </c>
      <c r="S54" s="78"/>
      <c r="T54" s="32"/>
      <c r="U54" s="32"/>
      <c r="V54" s="78"/>
      <c r="W54" s="49"/>
      <c r="X54" s="101"/>
      <c r="Y54" s="28">
        <f t="shared" si="18"/>
        <v>0</v>
      </c>
      <c r="Z54" s="28">
        <f t="shared" si="3"/>
        <v>0</v>
      </c>
    </row>
    <row r="55" spans="1:26" ht="16.5" customHeight="1" hidden="1">
      <c r="A55" s="228" t="s">
        <v>157</v>
      </c>
      <c r="B55" s="229"/>
      <c r="C55" s="229"/>
      <c r="D55" s="229"/>
      <c r="E55" s="229"/>
      <c r="F55" s="230"/>
      <c r="G55" s="277" t="s">
        <v>32</v>
      </c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48">
        <f>R56</f>
        <v>0</v>
      </c>
      <c r="S55" s="54">
        <f>S56</f>
        <v>0</v>
      </c>
      <c r="T55" s="31">
        <f>T56</f>
        <v>0</v>
      </c>
      <c r="U55" s="31">
        <f>U56</f>
        <v>0</v>
      </c>
      <c r="V55" s="54">
        <f>V56</f>
        <v>0</v>
      </c>
      <c r="W55" s="48"/>
      <c r="X55" s="99"/>
      <c r="Y55" s="28">
        <f t="shared" si="18"/>
        <v>0</v>
      </c>
      <c r="Z55" s="28">
        <f t="shared" si="3"/>
        <v>0</v>
      </c>
    </row>
    <row r="56" spans="1:26" ht="16.5" customHeight="1" hidden="1">
      <c r="A56" s="228" t="s">
        <v>156</v>
      </c>
      <c r="B56" s="229"/>
      <c r="C56" s="229"/>
      <c r="D56" s="229"/>
      <c r="E56" s="229"/>
      <c r="F56" s="230"/>
      <c r="G56" s="279" t="s">
        <v>71</v>
      </c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49">
        <f>SUM(S56:V56)</f>
        <v>0</v>
      </c>
      <c r="S56" s="78"/>
      <c r="T56" s="32"/>
      <c r="U56" s="32"/>
      <c r="V56" s="78"/>
      <c r="W56" s="49"/>
      <c r="X56" s="101"/>
      <c r="Y56" s="28">
        <f t="shared" si="18"/>
        <v>0</v>
      </c>
      <c r="Z56" s="28">
        <f t="shared" si="3"/>
        <v>0</v>
      </c>
    </row>
    <row r="57" spans="1:26" s="4" customFormat="1" ht="12.75" customHeight="1" hidden="1">
      <c r="A57" s="201" t="s">
        <v>170</v>
      </c>
      <c r="B57" s="202"/>
      <c r="C57" s="202"/>
      <c r="D57" s="202"/>
      <c r="E57" s="202"/>
      <c r="F57" s="185"/>
      <c r="G57" s="182" t="s">
        <v>44</v>
      </c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34">
        <f>R59</f>
        <v>0</v>
      </c>
      <c r="S57" s="53">
        <f aca="true" t="shared" si="19" ref="S57:X57">S59</f>
        <v>0</v>
      </c>
      <c r="T57" s="29">
        <f t="shared" si="19"/>
        <v>0</v>
      </c>
      <c r="U57" s="29">
        <f t="shared" si="19"/>
        <v>0</v>
      </c>
      <c r="V57" s="53">
        <f t="shared" si="19"/>
        <v>0</v>
      </c>
      <c r="W57" s="34">
        <f t="shared" si="19"/>
        <v>0</v>
      </c>
      <c r="X57" s="96">
        <f t="shared" si="19"/>
        <v>0</v>
      </c>
      <c r="Y57" s="28">
        <f>SUM(S57:V57)</f>
        <v>0</v>
      </c>
      <c r="Z57" s="28">
        <f t="shared" si="3"/>
        <v>0</v>
      </c>
    </row>
    <row r="58" spans="1:26" s="3" customFormat="1" ht="12.75" customHeight="1" hidden="1">
      <c r="A58" s="186" t="s">
        <v>241</v>
      </c>
      <c r="B58" s="181"/>
      <c r="C58" s="181"/>
      <c r="D58" s="181"/>
      <c r="E58" s="181"/>
      <c r="F58" s="211"/>
      <c r="G58" s="184" t="s">
        <v>242</v>
      </c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46">
        <f>R59</f>
        <v>0</v>
      </c>
      <c r="S58" s="75">
        <f aca="true" t="shared" si="20" ref="S58:X61">S59</f>
        <v>0</v>
      </c>
      <c r="T58" s="44">
        <f t="shared" si="20"/>
        <v>0</v>
      </c>
      <c r="U58" s="44">
        <f t="shared" si="20"/>
        <v>0</v>
      </c>
      <c r="V58" s="75">
        <f t="shared" si="20"/>
        <v>0</v>
      </c>
      <c r="W58" s="46">
        <f t="shared" si="20"/>
        <v>0</v>
      </c>
      <c r="X58" s="97">
        <f t="shared" si="20"/>
        <v>0</v>
      </c>
      <c r="Y58" s="28">
        <f>SUM(S58:V58)</f>
        <v>0</v>
      </c>
      <c r="Z58" s="28">
        <f>R58-S58-T58-U58-V58</f>
        <v>0</v>
      </c>
    </row>
    <row r="59" spans="1:26" s="3" customFormat="1" ht="12.75" customHeight="1" hidden="1">
      <c r="A59" s="198" t="s">
        <v>171</v>
      </c>
      <c r="B59" s="199"/>
      <c r="C59" s="199"/>
      <c r="D59" s="199"/>
      <c r="E59" s="199"/>
      <c r="F59" s="200"/>
      <c r="G59" s="220" t="s">
        <v>45</v>
      </c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47">
        <f>R60</f>
        <v>0</v>
      </c>
      <c r="S59" s="77">
        <f t="shared" si="20"/>
        <v>0</v>
      </c>
      <c r="T59" s="30">
        <f t="shared" si="20"/>
        <v>0</v>
      </c>
      <c r="U59" s="30">
        <f t="shared" si="20"/>
        <v>0</v>
      </c>
      <c r="V59" s="77">
        <f t="shared" si="20"/>
        <v>0</v>
      </c>
      <c r="W59" s="47">
        <f t="shared" si="20"/>
        <v>0</v>
      </c>
      <c r="X59" s="98">
        <f t="shared" si="20"/>
        <v>0</v>
      </c>
      <c r="Y59" s="28">
        <f>SUM(S59:V59)</f>
        <v>0</v>
      </c>
      <c r="Z59" s="28">
        <f t="shared" si="3"/>
        <v>0</v>
      </c>
    </row>
    <row r="60" spans="1:26" ht="12.75" customHeight="1" hidden="1">
      <c r="A60" s="192" t="s">
        <v>243</v>
      </c>
      <c r="B60" s="193"/>
      <c r="C60" s="193"/>
      <c r="D60" s="193"/>
      <c r="E60" s="193"/>
      <c r="F60" s="194"/>
      <c r="G60" s="216" t="s">
        <v>238</v>
      </c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48">
        <f>R61</f>
        <v>0</v>
      </c>
      <c r="S60" s="54">
        <f t="shared" si="20"/>
        <v>0</v>
      </c>
      <c r="T60" s="31">
        <f t="shared" si="20"/>
        <v>0</v>
      </c>
      <c r="U60" s="31">
        <f t="shared" si="20"/>
        <v>0</v>
      </c>
      <c r="V60" s="54">
        <f t="shared" si="20"/>
        <v>0</v>
      </c>
      <c r="W60" s="48">
        <f t="shared" si="20"/>
        <v>0</v>
      </c>
      <c r="X60" s="99">
        <f t="shared" si="20"/>
        <v>0</v>
      </c>
      <c r="Y60" s="28">
        <f>SUM(S60:V60)</f>
        <v>0</v>
      </c>
      <c r="Z60" s="28">
        <f>R60-S60-T60-U60-V60</f>
        <v>0</v>
      </c>
    </row>
    <row r="61" spans="1:26" ht="12.75" customHeight="1" hidden="1">
      <c r="A61" s="192" t="s">
        <v>244</v>
      </c>
      <c r="B61" s="193"/>
      <c r="C61" s="193"/>
      <c r="D61" s="193"/>
      <c r="E61" s="193"/>
      <c r="F61" s="194"/>
      <c r="G61" s="216" t="s">
        <v>245</v>
      </c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48">
        <f>R62</f>
        <v>0</v>
      </c>
      <c r="S61" s="54">
        <f t="shared" si="20"/>
        <v>0</v>
      </c>
      <c r="T61" s="31">
        <f t="shared" si="20"/>
        <v>0</v>
      </c>
      <c r="U61" s="31">
        <f t="shared" si="20"/>
        <v>0</v>
      </c>
      <c r="V61" s="54">
        <f t="shared" si="20"/>
        <v>0</v>
      </c>
      <c r="W61" s="48">
        <f t="shared" si="20"/>
        <v>0</v>
      </c>
      <c r="X61" s="99">
        <f t="shared" si="20"/>
        <v>0</v>
      </c>
      <c r="Y61" s="28">
        <f>SUM(S61:V61)</f>
        <v>0</v>
      </c>
      <c r="Z61" s="28">
        <f t="shared" si="3"/>
        <v>0</v>
      </c>
    </row>
    <row r="62" spans="1:26" ht="12.75" customHeight="1" hidden="1">
      <c r="A62" s="192" t="s">
        <v>246</v>
      </c>
      <c r="B62" s="193"/>
      <c r="C62" s="193"/>
      <c r="D62" s="193"/>
      <c r="E62" s="193"/>
      <c r="F62" s="194"/>
      <c r="G62" s="216" t="s">
        <v>71</v>
      </c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49">
        <f>SUM(S62:V62)</f>
        <v>0</v>
      </c>
      <c r="S62" s="85">
        <f>14575-14575</f>
        <v>0</v>
      </c>
      <c r="T62" s="86">
        <f>14575-7425-7150</f>
        <v>0</v>
      </c>
      <c r="U62" s="86">
        <f>14575-14575</f>
        <v>0</v>
      </c>
      <c r="V62" s="85">
        <f>14575-14575</f>
        <v>0</v>
      </c>
      <c r="W62" s="105">
        <v>0</v>
      </c>
      <c r="X62" s="102">
        <v>0</v>
      </c>
      <c r="Y62" s="28">
        <f>SUM(S62:X62)</f>
        <v>0</v>
      </c>
      <c r="Z62" s="28">
        <f t="shared" si="3"/>
        <v>0</v>
      </c>
    </row>
    <row r="63" spans="1:26" s="4" customFormat="1" ht="12.75">
      <c r="A63" s="201" t="s">
        <v>101</v>
      </c>
      <c r="B63" s="202"/>
      <c r="C63" s="202"/>
      <c r="D63" s="202"/>
      <c r="E63" s="202"/>
      <c r="F63" s="185"/>
      <c r="G63" s="182" t="s">
        <v>77</v>
      </c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34">
        <f aca="true" t="shared" si="21" ref="R63:X63">R64+R71+R77+R87</f>
        <v>696807.81</v>
      </c>
      <c r="S63" s="53">
        <f t="shared" si="21"/>
        <v>127338</v>
      </c>
      <c r="T63" s="29">
        <f t="shared" si="21"/>
        <v>215532.07</v>
      </c>
      <c r="U63" s="29">
        <f t="shared" si="21"/>
        <v>149994.9</v>
      </c>
      <c r="V63" s="53">
        <f t="shared" si="21"/>
        <v>203942.84</v>
      </c>
      <c r="W63" s="34">
        <f t="shared" si="21"/>
        <v>1165200</v>
      </c>
      <c r="X63" s="96">
        <f t="shared" si="21"/>
        <v>1734100</v>
      </c>
      <c r="Y63" s="28">
        <f>SUM(S63:V63)</f>
        <v>696807.8099999999</v>
      </c>
      <c r="Z63" s="28">
        <f t="shared" si="3"/>
        <v>0</v>
      </c>
    </row>
    <row r="64" spans="1:26" s="43" customFormat="1" ht="18.75" customHeight="1" hidden="1">
      <c r="A64" s="283" t="s">
        <v>487</v>
      </c>
      <c r="B64" s="284"/>
      <c r="C64" s="284"/>
      <c r="D64" s="284"/>
      <c r="E64" s="284"/>
      <c r="F64" s="136"/>
      <c r="G64" s="281" t="s">
        <v>85</v>
      </c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46">
        <f>R65</f>
        <v>22502.12</v>
      </c>
      <c r="S64" s="75">
        <f aca="true" t="shared" si="22" ref="S64:X67">S65</f>
        <v>0</v>
      </c>
      <c r="T64" s="44">
        <f t="shared" si="22"/>
        <v>0</v>
      </c>
      <c r="U64" s="44">
        <f t="shared" si="22"/>
        <v>14000</v>
      </c>
      <c r="V64" s="75">
        <f t="shared" si="22"/>
        <v>8502.119999999999</v>
      </c>
      <c r="W64" s="46">
        <f t="shared" si="22"/>
        <v>0</v>
      </c>
      <c r="X64" s="97">
        <f t="shared" si="22"/>
        <v>0</v>
      </c>
      <c r="Y64" s="42"/>
      <c r="Z64" s="28">
        <f t="shared" si="3"/>
        <v>0</v>
      </c>
    </row>
    <row r="65" spans="1:26" s="3" customFormat="1" ht="22.5" customHeight="1">
      <c r="A65" s="285" t="s">
        <v>487</v>
      </c>
      <c r="B65" s="286"/>
      <c r="C65" s="286"/>
      <c r="D65" s="286"/>
      <c r="E65" s="286"/>
      <c r="F65" s="287"/>
      <c r="G65" s="226" t="s">
        <v>492</v>
      </c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47">
        <f>R66</f>
        <v>22502.12</v>
      </c>
      <c r="S65" s="77">
        <f t="shared" si="22"/>
        <v>0</v>
      </c>
      <c r="T65" s="30">
        <f t="shared" si="22"/>
        <v>0</v>
      </c>
      <c r="U65" s="30">
        <f t="shared" si="22"/>
        <v>14000</v>
      </c>
      <c r="V65" s="77">
        <f t="shared" si="22"/>
        <v>8502.119999999999</v>
      </c>
      <c r="W65" s="47">
        <f t="shared" si="22"/>
        <v>0</v>
      </c>
      <c r="X65" s="98">
        <f t="shared" si="22"/>
        <v>0</v>
      </c>
      <c r="Y65" s="28">
        <f>SUM(S65:V65)</f>
        <v>22502.12</v>
      </c>
      <c r="Z65" s="28">
        <f t="shared" si="3"/>
        <v>0</v>
      </c>
    </row>
    <row r="66" spans="1:26" ht="12.75">
      <c r="A66" s="177" t="s">
        <v>488</v>
      </c>
      <c r="B66" s="178"/>
      <c r="C66" s="178"/>
      <c r="D66" s="178"/>
      <c r="E66" s="178"/>
      <c r="F66" s="203"/>
      <c r="G66" s="233" t="s">
        <v>236</v>
      </c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48">
        <f>R67</f>
        <v>22502.12</v>
      </c>
      <c r="S66" s="54">
        <f t="shared" si="22"/>
        <v>0</v>
      </c>
      <c r="T66" s="31">
        <f t="shared" si="22"/>
        <v>0</v>
      </c>
      <c r="U66" s="31">
        <f t="shared" si="22"/>
        <v>14000</v>
      </c>
      <c r="V66" s="54">
        <f t="shared" si="22"/>
        <v>8502.119999999999</v>
      </c>
      <c r="W66" s="48">
        <f t="shared" si="22"/>
        <v>0</v>
      </c>
      <c r="X66" s="99">
        <f t="shared" si="22"/>
        <v>0</v>
      </c>
      <c r="Y66" s="28">
        <f>SUM(S66:V66)</f>
        <v>22502.12</v>
      </c>
      <c r="Z66" s="28">
        <f>R66-S66-T66-U66-V66</f>
        <v>0</v>
      </c>
    </row>
    <row r="67" spans="1:26" ht="24" customHeight="1">
      <c r="A67" s="177" t="s">
        <v>489</v>
      </c>
      <c r="B67" s="178"/>
      <c r="C67" s="178"/>
      <c r="D67" s="178"/>
      <c r="E67" s="178"/>
      <c r="F67" s="203"/>
      <c r="G67" s="233" t="s">
        <v>190</v>
      </c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48">
        <f>R68</f>
        <v>22502.12</v>
      </c>
      <c r="S67" s="54">
        <f t="shared" si="22"/>
        <v>0</v>
      </c>
      <c r="T67" s="31">
        <f t="shared" si="22"/>
        <v>0</v>
      </c>
      <c r="U67" s="31">
        <f t="shared" si="22"/>
        <v>14000</v>
      </c>
      <c r="V67" s="54">
        <f t="shared" si="22"/>
        <v>8502.119999999999</v>
      </c>
      <c r="W67" s="48">
        <f t="shared" si="22"/>
        <v>0</v>
      </c>
      <c r="X67" s="99">
        <f t="shared" si="22"/>
        <v>0</v>
      </c>
      <c r="Y67" s="28">
        <f>SUM(S67:V67)</f>
        <v>22502.12</v>
      </c>
      <c r="Z67" s="28">
        <f>R67-S67-T67-U67-V67</f>
        <v>0</v>
      </c>
    </row>
    <row r="68" spans="1:26" ht="24" customHeight="1">
      <c r="A68" s="177" t="s">
        <v>490</v>
      </c>
      <c r="B68" s="178"/>
      <c r="C68" s="178"/>
      <c r="D68" s="178"/>
      <c r="E68" s="178"/>
      <c r="F68" s="203"/>
      <c r="G68" s="233" t="s">
        <v>237</v>
      </c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48">
        <f>SUM(R69:R70)</f>
        <v>22502.12</v>
      </c>
      <c r="S68" s="54">
        <f aca="true" t="shared" si="23" ref="S68:X68">SUM(S69:S70)</f>
        <v>0</v>
      </c>
      <c r="T68" s="31">
        <f t="shared" si="23"/>
        <v>0</v>
      </c>
      <c r="U68" s="31">
        <f t="shared" si="23"/>
        <v>14000</v>
      </c>
      <c r="V68" s="54">
        <f t="shared" si="23"/>
        <v>8502.119999999999</v>
      </c>
      <c r="W68" s="48">
        <f t="shared" si="23"/>
        <v>0</v>
      </c>
      <c r="X68" s="99">
        <f t="shared" si="23"/>
        <v>0</v>
      </c>
      <c r="Y68" s="28">
        <f>SUM(S68:V68)</f>
        <v>22502.12</v>
      </c>
      <c r="Z68" s="28">
        <f>R68-S68-T68-U68-V68</f>
        <v>0</v>
      </c>
    </row>
    <row r="69" spans="1:26" s="108" customFormat="1" ht="16.5" customHeight="1">
      <c r="A69" s="177" t="s">
        <v>491</v>
      </c>
      <c r="B69" s="178"/>
      <c r="C69" s="178"/>
      <c r="D69" s="178"/>
      <c r="E69" s="178"/>
      <c r="F69" s="203"/>
      <c r="G69" s="216" t="s">
        <v>42</v>
      </c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49">
        <f>S69+T69+U69+V69</f>
        <v>22502.12</v>
      </c>
      <c r="S69" s="85">
        <v>0</v>
      </c>
      <c r="T69" s="86">
        <v>0</v>
      </c>
      <c r="U69" s="86">
        <f>10000+4000</f>
        <v>14000</v>
      </c>
      <c r="V69" s="85">
        <f>3000+2625.99+2876.13</f>
        <v>8502.119999999999</v>
      </c>
      <c r="W69" s="105">
        <v>0</v>
      </c>
      <c r="X69" s="102">
        <v>0</v>
      </c>
      <c r="Y69" s="107">
        <f>SUM(S69:X69)</f>
        <v>22502.12</v>
      </c>
      <c r="Z69" s="107">
        <f t="shared" si="3"/>
        <v>0</v>
      </c>
    </row>
    <row r="70" spans="1:26" s="108" customFormat="1" ht="16.5" customHeight="1" hidden="1">
      <c r="A70" s="177" t="s">
        <v>383</v>
      </c>
      <c r="B70" s="178"/>
      <c r="C70" s="178"/>
      <c r="D70" s="178"/>
      <c r="E70" s="178"/>
      <c r="F70" s="203"/>
      <c r="G70" s="224" t="s">
        <v>70</v>
      </c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49">
        <f>S70+T70+U70+V70</f>
        <v>0</v>
      </c>
      <c r="S70" s="85"/>
      <c r="T70" s="86"/>
      <c r="U70" s="86"/>
      <c r="V70" s="85"/>
      <c r="W70" s="105"/>
      <c r="X70" s="102"/>
      <c r="Y70" s="107">
        <f>SUM(S70:X70)</f>
        <v>0</v>
      </c>
      <c r="Z70" s="107">
        <f t="shared" si="3"/>
        <v>0</v>
      </c>
    </row>
    <row r="71" spans="1:26" ht="24" customHeight="1">
      <c r="A71" s="186" t="s">
        <v>256</v>
      </c>
      <c r="B71" s="181"/>
      <c r="C71" s="181"/>
      <c r="D71" s="181"/>
      <c r="E71" s="181"/>
      <c r="F71" s="211"/>
      <c r="G71" s="231" t="s">
        <v>261</v>
      </c>
      <c r="H71" s="232"/>
      <c r="I71" s="232"/>
      <c r="J71" s="232"/>
      <c r="K71" s="232"/>
      <c r="L71" s="232"/>
      <c r="M71" s="232"/>
      <c r="N71" s="232"/>
      <c r="O71" s="232"/>
      <c r="P71" s="232"/>
      <c r="Q71" s="106"/>
      <c r="R71" s="46">
        <f>R72</f>
        <v>120194.7</v>
      </c>
      <c r="S71" s="75">
        <f aca="true" t="shared" si="24" ref="S71:X72">S72</f>
        <v>0</v>
      </c>
      <c r="T71" s="44">
        <f t="shared" si="24"/>
        <v>86512.8</v>
      </c>
      <c r="U71" s="44">
        <f t="shared" si="24"/>
        <v>33681.899999999994</v>
      </c>
      <c r="V71" s="75">
        <f t="shared" si="24"/>
        <v>0</v>
      </c>
      <c r="W71" s="46">
        <f t="shared" si="24"/>
        <v>129800</v>
      </c>
      <c r="X71" s="97">
        <f t="shared" si="24"/>
        <v>133000</v>
      </c>
      <c r="Y71" s="79"/>
      <c r="Z71" s="28">
        <f>R71-S71-T71-U71-V71</f>
        <v>0</v>
      </c>
    </row>
    <row r="72" spans="1:26" s="3" customFormat="1" ht="11.25" customHeight="1">
      <c r="A72" s="198" t="s">
        <v>443</v>
      </c>
      <c r="B72" s="199"/>
      <c r="C72" s="199"/>
      <c r="D72" s="199"/>
      <c r="E72" s="199"/>
      <c r="F72" s="200"/>
      <c r="G72" s="226" t="s">
        <v>169</v>
      </c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47">
        <f>R73</f>
        <v>120194.7</v>
      </c>
      <c r="S72" s="77">
        <f t="shared" si="24"/>
        <v>0</v>
      </c>
      <c r="T72" s="30">
        <f t="shared" si="24"/>
        <v>86512.8</v>
      </c>
      <c r="U72" s="30">
        <f t="shared" si="24"/>
        <v>33681.899999999994</v>
      </c>
      <c r="V72" s="77">
        <f t="shared" si="24"/>
        <v>0</v>
      </c>
      <c r="W72" s="47">
        <f t="shared" si="24"/>
        <v>129800</v>
      </c>
      <c r="X72" s="98">
        <f t="shared" si="24"/>
        <v>133000</v>
      </c>
      <c r="Y72" s="28">
        <f>SUM(S72:V72)</f>
        <v>120194.7</v>
      </c>
      <c r="Z72" s="28">
        <f>R72-S72-T72-U72-V72</f>
        <v>0</v>
      </c>
    </row>
    <row r="73" spans="1:26" ht="48.75" customHeight="1">
      <c r="A73" s="192" t="s">
        <v>260</v>
      </c>
      <c r="B73" s="193"/>
      <c r="C73" s="193"/>
      <c r="D73" s="193"/>
      <c r="E73" s="193"/>
      <c r="F73" s="194"/>
      <c r="G73" s="216" t="s">
        <v>207</v>
      </c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48">
        <f>R74</f>
        <v>120194.7</v>
      </c>
      <c r="S73" s="54">
        <f aca="true" t="shared" si="25" ref="S73:X75">S74</f>
        <v>0</v>
      </c>
      <c r="T73" s="31">
        <f t="shared" si="25"/>
        <v>86512.8</v>
      </c>
      <c r="U73" s="31">
        <f t="shared" si="25"/>
        <v>33681.899999999994</v>
      </c>
      <c r="V73" s="54">
        <f t="shared" si="25"/>
        <v>0</v>
      </c>
      <c r="W73" s="48">
        <f t="shared" si="25"/>
        <v>129800</v>
      </c>
      <c r="X73" s="99">
        <f t="shared" si="25"/>
        <v>133000</v>
      </c>
      <c r="Y73" s="28">
        <f>SUM(S73:V73)</f>
        <v>120194.7</v>
      </c>
      <c r="Z73" s="28">
        <f>R73-S73-T73-U73-V73</f>
        <v>0</v>
      </c>
    </row>
    <row r="74" spans="1:26" ht="23.25" customHeight="1">
      <c r="A74" s="192" t="s">
        <v>259</v>
      </c>
      <c r="B74" s="193"/>
      <c r="C74" s="193"/>
      <c r="D74" s="193"/>
      <c r="E74" s="193"/>
      <c r="F74" s="194"/>
      <c r="G74" s="216" t="s">
        <v>209</v>
      </c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48">
        <f>R75</f>
        <v>120194.7</v>
      </c>
      <c r="S74" s="54">
        <f t="shared" si="25"/>
        <v>0</v>
      </c>
      <c r="T74" s="31">
        <f t="shared" si="25"/>
        <v>86512.8</v>
      </c>
      <c r="U74" s="31">
        <f t="shared" si="25"/>
        <v>33681.899999999994</v>
      </c>
      <c r="V74" s="54">
        <f t="shared" si="25"/>
        <v>0</v>
      </c>
      <c r="W74" s="48">
        <f t="shared" si="25"/>
        <v>129800</v>
      </c>
      <c r="X74" s="99">
        <f t="shared" si="25"/>
        <v>133000</v>
      </c>
      <c r="Y74" s="79"/>
      <c r="Z74" s="28">
        <f t="shared" si="3"/>
        <v>0</v>
      </c>
    </row>
    <row r="75" spans="1:26" ht="12.75">
      <c r="A75" s="192" t="s">
        <v>258</v>
      </c>
      <c r="B75" s="193"/>
      <c r="C75" s="193"/>
      <c r="D75" s="193"/>
      <c r="E75" s="193"/>
      <c r="F75" s="194"/>
      <c r="G75" s="216" t="s">
        <v>219</v>
      </c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48">
        <f>R76</f>
        <v>120194.7</v>
      </c>
      <c r="S75" s="54">
        <f t="shared" si="25"/>
        <v>0</v>
      </c>
      <c r="T75" s="31">
        <f t="shared" si="25"/>
        <v>86512.8</v>
      </c>
      <c r="U75" s="31">
        <f t="shared" si="25"/>
        <v>33681.899999999994</v>
      </c>
      <c r="V75" s="54">
        <f t="shared" si="25"/>
        <v>0</v>
      </c>
      <c r="W75" s="48">
        <f t="shared" si="25"/>
        <v>129800</v>
      </c>
      <c r="X75" s="99">
        <f t="shared" si="25"/>
        <v>133000</v>
      </c>
      <c r="Y75" s="28">
        <f>SUM(S75:V75)</f>
        <v>120194.7</v>
      </c>
      <c r="Z75" s="28">
        <f t="shared" si="3"/>
        <v>0</v>
      </c>
    </row>
    <row r="76" spans="1:26" ht="12.75">
      <c r="A76" s="192" t="s">
        <v>257</v>
      </c>
      <c r="B76" s="193"/>
      <c r="C76" s="193"/>
      <c r="D76" s="193"/>
      <c r="E76" s="193"/>
      <c r="F76" s="194"/>
      <c r="G76" s="216" t="s">
        <v>37</v>
      </c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49">
        <f>S76+T76+U76+V76</f>
        <v>120194.7</v>
      </c>
      <c r="S76" s="85">
        <v>0</v>
      </c>
      <c r="T76" s="86">
        <f>62600+23912.8</f>
        <v>86512.8</v>
      </c>
      <c r="U76" s="86">
        <f>62600-23912.8-5005.3</f>
        <v>33681.899999999994</v>
      </c>
      <c r="V76" s="85">
        <v>0</v>
      </c>
      <c r="W76" s="105">
        <v>129800</v>
      </c>
      <c r="X76" s="102">
        <v>133000</v>
      </c>
      <c r="Y76" s="28"/>
      <c r="Z76" s="28">
        <f t="shared" si="3"/>
        <v>0</v>
      </c>
    </row>
    <row r="77" spans="1:26" s="43" customFormat="1" ht="12.75">
      <c r="A77" s="186" t="s">
        <v>103</v>
      </c>
      <c r="B77" s="181"/>
      <c r="C77" s="181"/>
      <c r="D77" s="181"/>
      <c r="E77" s="181"/>
      <c r="F77" s="41"/>
      <c r="G77" s="184" t="s">
        <v>105</v>
      </c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46">
        <f>R78</f>
        <v>554110.99</v>
      </c>
      <c r="S77" s="75">
        <f aca="true" t="shared" si="26" ref="S77:X80">S78</f>
        <v>127338</v>
      </c>
      <c r="T77" s="44">
        <f t="shared" si="26"/>
        <v>129019.27</v>
      </c>
      <c r="U77" s="44">
        <f t="shared" si="26"/>
        <v>102313</v>
      </c>
      <c r="V77" s="75">
        <f t="shared" si="26"/>
        <v>195440.72</v>
      </c>
      <c r="W77" s="46">
        <f t="shared" si="26"/>
        <v>507400</v>
      </c>
      <c r="X77" s="97">
        <f t="shared" si="26"/>
        <v>519600</v>
      </c>
      <c r="Y77" s="42"/>
      <c r="Z77" s="28">
        <f t="shared" si="3"/>
        <v>0</v>
      </c>
    </row>
    <row r="78" spans="1:26" s="3" customFormat="1" ht="12.75">
      <c r="A78" s="198" t="s">
        <v>104</v>
      </c>
      <c r="B78" s="199"/>
      <c r="C78" s="199"/>
      <c r="D78" s="199"/>
      <c r="E78" s="199"/>
      <c r="F78" s="200"/>
      <c r="G78" s="220" t="s">
        <v>56</v>
      </c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47">
        <f>R79</f>
        <v>554110.99</v>
      </c>
      <c r="S78" s="77">
        <f t="shared" si="26"/>
        <v>127338</v>
      </c>
      <c r="T78" s="30">
        <f t="shared" si="26"/>
        <v>129019.27</v>
      </c>
      <c r="U78" s="30">
        <f t="shared" si="26"/>
        <v>102313</v>
      </c>
      <c r="V78" s="77">
        <f t="shared" si="26"/>
        <v>195440.72</v>
      </c>
      <c r="W78" s="47">
        <f t="shared" si="26"/>
        <v>507400</v>
      </c>
      <c r="X78" s="98">
        <f t="shared" si="26"/>
        <v>519600</v>
      </c>
      <c r="Y78" s="28">
        <f>SUM(S78:V78)</f>
        <v>554110.99</v>
      </c>
      <c r="Z78" s="28">
        <f t="shared" si="3"/>
        <v>0</v>
      </c>
    </row>
    <row r="79" spans="1:26" ht="12.75">
      <c r="A79" s="192" t="s">
        <v>262</v>
      </c>
      <c r="B79" s="193"/>
      <c r="C79" s="193"/>
      <c r="D79" s="193"/>
      <c r="E79" s="193"/>
      <c r="F79" s="194"/>
      <c r="G79" s="216" t="s">
        <v>236</v>
      </c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48">
        <f>R80</f>
        <v>554110.99</v>
      </c>
      <c r="S79" s="54">
        <f t="shared" si="26"/>
        <v>127338</v>
      </c>
      <c r="T79" s="31">
        <f t="shared" si="26"/>
        <v>129019.27</v>
      </c>
      <c r="U79" s="31">
        <f t="shared" si="26"/>
        <v>102313</v>
      </c>
      <c r="V79" s="54">
        <f t="shared" si="26"/>
        <v>195440.72</v>
      </c>
      <c r="W79" s="48">
        <f t="shared" si="26"/>
        <v>507400</v>
      </c>
      <c r="X79" s="99">
        <f t="shared" si="26"/>
        <v>519600</v>
      </c>
      <c r="Y79" s="28">
        <f>SUM(S79:V79)</f>
        <v>554110.99</v>
      </c>
      <c r="Z79" s="28">
        <f>R79-S79-T79-U79-V79</f>
        <v>0</v>
      </c>
    </row>
    <row r="80" spans="1:26" ht="24" customHeight="1">
      <c r="A80" s="192" t="s">
        <v>263</v>
      </c>
      <c r="B80" s="193"/>
      <c r="C80" s="193"/>
      <c r="D80" s="193"/>
      <c r="E80" s="193"/>
      <c r="F80" s="194"/>
      <c r="G80" s="216" t="s">
        <v>190</v>
      </c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48">
        <f>R81</f>
        <v>554110.99</v>
      </c>
      <c r="S80" s="54">
        <f t="shared" si="26"/>
        <v>127338</v>
      </c>
      <c r="T80" s="31">
        <f t="shared" si="26"/>
        <v>129019.27</v>
      </c>
      <c r="U80" s="31">
        <f t="shared" si="26"/>
        <v>102313</v>
      </c>
      <c r="V80" s="54">
        <f t="shared" si="26"/>
        <v>195440.72</v>
      </c>
      <c r="W80" s="48">
        <f t="shared" si="26"/>
        <v>507400</v>
      </c>
      <c r="X80" s="99">
        <f t="shared" si="26"/>
        <v>519600</v>
      </c>
      <c r="Y80" s="28">
        <f>SUM(S80:V80)</f>
        <v>554110.99</v>
      </c>
      <c r="Z80" s="28">
        <f>R80-S80-T80-U80-V80</f>
        <v>0</v>
      </c>
    </row>
    <row r="81" spans="1:26" ht="24" customHeight="1">
      <c r="A81" s="192" t="s">
        <v>264</v>
      </c>
      <c r="B81" s="193"/>
      <c r="C81" s="193"/>
      <c r="D81" s="193"/>
      <c r="E81" s="193"/>
      <c r="F81" s="194"/>
      <c r="G81" s="216" t="s">
        <v>237</v>
      </c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48">
        <f>SUM(R82:R86)</f>
        <v>554110.99</v>
      </c>
      <c r="S81" s="54">
        <f aca="true" t="shared" si="27" ref="S81:X81">SUM(S82:S86)</f>
        <v>127338</v>
      </c>
      <c r="T81" s="31">
        <f t="shared" si="27"/>
        <v>129019.27</v>
      </c>
      <c r="U81" s="31">
        <f t="shared" si="27"/>
        <v>102313</v>
      </c>
      <c r="V81" s="54">
        <f t="shared" si="27"/>
        <v>195440.72</v>
      </c>
      <c r="W81" s="48">
        <f t="shared" si="27"/>
        <v>507400</v>
      </c>
      <c r="X81" s="99">
        <f t="shared" si="27"/>
        <v>519600</v>
      </c>
      <c r="Y81" s="28">
        <f>SUM(S81:V81)</f>
        <v>554110.99</v>
      </c>
      <c r="Z81" s="28">
        <f>R81-S81-T81-U81-V81</f>
        <v>0</v>
      </c>
    </row>
    <row r="82" spans="1:26" ht="12.75" customHeight="1" hidden="1">
      <c r="A82" s="192" t="s">
        <v>534</v>
      </c>
      <c r="B82" s="193"/>
      <c r="C82" s="193"/>
      <c r="D82" s="193"/>
      <c r="E82" s="193"/>
      <c r="F82" s="194"/>
      <c r="G82" s="216" t="s">
        <v>39</v>
      </c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49">
        <f>SUM(S82:V82)</f>
        <v>0</v>
      </c>
      <c r="S82" s="85">
        <v>0</v>
      </c>
      <c r="T82" s="86">
        <v>0</v>
      </c>
      <c r="U82" s="86">
        <v>0</v>
      </c>
      <c r="V82" s="85">
        <f>640-640</f>
        <v>0</v>
      </c>
      <c r="W82" s="105">
        <v>0</v>
      </c>
      <c r="X82" s="102">
        <v>0</v>
      </c>
      <c r="Y82" s="28">
        <f>SUM(S82:X82)</f>
        <v>0</v>
      </c>
      <c r="Z82" s="28">
        <f t="shared" si="3"/>
        <v>0</v>
      </c>
    </row>
    <row r="83" spans="1:26" ht="12.75">
      <c r="A83" s="192" t="s">
        <v>265</v>
      </c>
      <c r="B83" s="193"/>
      <c r="C83" s="193"/>
      <c r="D83" s="193"/>
      <c r="E83" s="193"/>
      <c r="F83" s="194"/>
      <c r="G83" s="216" t="s">
        <v>40</v>
      </c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49">
        <f>SUM(S83:V83)</f>
        <v>117958.68</v>
      </c>
      <c r="S83" s="85">
        <f>42500</f>
        <v>42500</v>
      </c>
      <c r="T83" s="86">
        <f>33500</f>
        <v>33500</v>
      </c>
      <c r="U83" s="86">
        <f>21500-4000</f>
        <v>17500</v>
      </c>
      <c r="V83" s="85">
        <f>42500-2625.99-12000-3415.33</f>
        <v>24458.68</v>
      </c>
      <c r="W83" s="105">
        <v>140000</v>
      </c>
      <c r="X83" s="102">
        <v>140000</v>
      </c>
      <c r="Y83" s="28">
        <f>SUM(S83:X83)</f>
        <v>397958.68</v>
      </c>
      <c r="Z83" s="28">
        <f>R83-S83-T83-U83-V83</f>
        <v>0</v>
      </c>
    </row>
    <row r="84" spans="1:26" ht="12.75">
      <c r="A84" s="192" t="s">
        <v>266</v>
      </c>
      <c r="B84" s="193"/>
      <c r="C84" s="193"/>
      <c r="D84" s="193"/>
      <c r="E84" s="193"/>
      <c r="F84" s="194"/>
      <c r="G84" s="216" t="s">
        <v>41</v>
      </c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49">
        <f>SUM(S84:V84)</f>
        <v>103192.5</v>
      </c>
      <c r="S84" s="85">
        <f>25013</f>
        <v>25013</v>
      </c>
      <c r="T84" s="86">
        <f>24987</f>
        <v>24987</v>
      </c>
      <c r="U84" s="86">
        <f>24988</f>
        <v>24988</v>
      </c>
      <c r="V84" s="85">
        <f>25012-3000+2072.5+2620+1500</f>
        <v>28204.5</v>
      </c>
      <c r="W84" s="105">
        <v>100000</v>
      </c>
      <c r="X84" s="102">
        <v>100000</v>
      </c>
      <c r="Y84" s="28">
        <f>SUM(S84:X84)</f>
        <v>303192.5</v>
      </c>
      <c r="Z84" s="28">
        <f t="shared" si="3"/>
        <v>0</v>
      </c>
    </row>
    <row r="85" spans="1:26" ht="12.75">
      <c r="A85" s="192" t="s">
        <v>267</v>
      </c>
      <c r="B85" s="193"/>
      <c r="C85" s="193"/>
      <c r="D85" s="193"/>
      <c r="E85" s="193"/>
      <c r="F85" s="194"/>
      <c r="G85" s="216" t="s">
        <v>42</v>
      </c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49">
        <f>SUM(S85:V85)</f>
        <v>332959.81000000006</v>
      </c>
      <c r="S85" s="85">
        <f>59825</f>
        <v>59825</v>
      </c>
      <c r="T85" s="86">
        <f>59825+10707.27</f>
        <v>70532.27</v>
      </c>
      <c r="U85" s="86">
        <f>59825</f>
        <v>59825</v>
      </c>
      <c r="V85" s="85">
        <f>59825-10707.27+15936+24564+18100+4531.7+3816.55+26711.56</f>
        <v>142777.54</v>
      </c>
      <c r="W85" s="105">
        <v>257400</v>
      </c>
      <c r="X85" s="102">
        <v>269600</v>
      </c>
      <c r="Y85" s="28">
        <f>SUM(S85:X85)</f>
        <v>859959.81</v>
      </c>
      <c r="Z85" s="28">
        <f t="shared" si="3"/>
        <v>0</v>
      </c>
    </row>
    <row r="86" spans="1:26" ht="12.75">
      <c r="A86" s="192" t="s">
        <v>268</v>
      </c>
      <c r="B86" s="193"/>
      <c r="C86" s="193"/>
      <c r="D86" s="193"/>
      <c r="E86" s="193"/>
      <c r="F86" s="194"/>
      <c r="G86" s="224" t="s">
        <v>70</v>
      </c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49">
        <f>SUM(S86:V86)</f>
        <v>0</v>
      </c>
      <c r="S86" s="85">
        <f>2500-2500</f>
        <v>0</v>
      </c>
      <c r="T86" s="86">
        <f>2500-2500</f>
        <v>0</v>
      </c>
      <c r="U86" s="86">
        <f>2500-2500</f>
        <v>0</v>
      </c>
      <c r="V86" s="85">
        <f>2500-2500</f>
        <v>0</v>
      </c>
      <c r="W86" s="105">
        <v>10000</v>
      </c>
      <c r="X86" s="102">
        <v>10000</v>
      </c>
      <c r="Y86" s="28">
        <f>SUM(S86:X86)</f>
        <v>20000</v>
      </c>
      <c r="Z86" s="28">
        <f t="shared" si="3"/>
        <v>0</v>
      </c>
    </row>
    <row r="87" spans="1:26" s="43" customFormat="1" ht="12.75">
      <c r="A87" s="186" t="s">
        <v>102</v>
      </c>
      <c r="B87" s="181"/>
      <c r="C87" s="181"/>
      <c r="D87" s="181"/>
      <c r="E87" s="181"/>
      <c r="F87" s="41"/>
      <c r="G87" s="184" t="s">
        <v>86</v>
      </c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46">
        <f>R88</f>
        <v>0</v>
      </c>
      <c r="S87" s="75">
        <f aca="true" t="shared" si="28" ref="S87:V88">S88</f>
        <v>0</v>
      </c>
      <c r="T87" s="44">
        <f t="shared" si="28"/>
        <v>0</v>
      </c>
      <c r="U87" s="44">
        <f t="shared" si="28"/>
        <v>0</v>
      </c>
      <c r="V87" s="75">
        <f t="shared" si="28"/>
        <v>0</v>
      </c>
      <c r="W87" s="46">
        <f>W88</f>
        <v>528000</v>
      </c>
      <c r="X87" s="97">
        <f>X88</f>
        <v>1081500</v>
      </c>
      <c r="Y87" s="42"/>
      <c r="Z87" s="28">
        <f t="shared" si="3"/>
        <v>0</v>
      </c>
    </row>
    <row r="88" spans="1:26" ht="12.75">
      <c r="A88" s="192" t="s">
        <v>269</v>
      </c>
      <c r="B88" s="193"/>
      <c r="C88" s="193"/>
      <c r="D88" s="193"/>
      <c r="E88" s="193"/>
      <c r="F88" s="38"/>
      <c r="G88" s="216" t="s">
        <v>238</v>
      </c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48">
        <f>R89</f>
        <v>0</v>
      </c>
      <c r="S88" s="54">
        <f t="shared" si="28"/>
        <v>0</v>
      </c>
      <c r="T88" s="31">
        <f t="shared" si="28"/>
        <v>0</v>
      </c>
      <c r="U88" s="31">
        <f t="shared" si="28"/>
        <v>0</v>
      </c>
      <c r="V88" s="54">
        <f t="shared" si="28"/>
        <v>0</v>
      </c>
      <c r="W88" s="48">
        <f>W89</f>
        <v>528000</v>
      </c>
      <c r="X88" s="99">
        <f>X89</f>
        <v>1081500</v>
      </c>
      <c r="Y88" s="28"/>
      <c r="Z88" s="28">
        <f t="shared" si="3"/>
        <v>0</v>
      </c>
    </row>
    <row r="89" spans="1:26" ht="12.75">
      <c r="A89" s="192" t="s">
        <v>270</v>
      </c>
      <c r="B89" s="193"/>
      <c r="C89" s="193"/>
      <c r="D89" s="193"/>
      <c r="E89" s="193"/>
      <c r="F89" s="38"/>
      <c r="G89" s="216" t="s">
        <v>245</v>
      </c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49">
        <f>SUM(S89:V89)</f>
        <v>0</v>
      </c>
      <c r="S89" s="85">
        <v>0</v>
      </c>
      <c r="T89" s="86">
        <v>0</v>
      </c>
      <c r="U89" s="86">
        <v>0</v>
      </c>
      <c r="V89" s="85">
        <v>0</v>
      </c>
      <c r="W89" s="105">
        <v>528000</v>
      </c>
      <c r="X89" s="102">
        <v>1081500</v>
      </c>
      <c r="Y89" s="28"/>
      <c r="Z89" s="28">
        <f t="shared" si="3"/>
        <v>0</v>
      </c>
    </row>
    <row r="90" spans="1:26" s="4" customFormat="1" ht="16.5" customHeight="1">
      <c r="A90" s="201" t="s">
        <v>113</v>
      </c>
      <c r="B90" s="202"/>
      <c r="C90" s="202"/>
      <c r="D90" s="202"/>
      <c r="E90" s="202"/>
      <c r="F90" s="185"/>
      <c r="G90" s="182" t="s">
        <v>47</v>
      </c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34">
        <f>R91</f>
        <v>398999.99999999994</v>
      </c>
      <c r="S90" s="53">
        <f aca="true" t="shared" si="29" ref="S90:X91">S91</f>
        <v>111800</v>
      </c>
      <c r="T90" s="29">
        <f t="shared" si="29"/>
        <v>152321.64</v>
      </c>
      <c r="U90" s="29">
        <f t="shared" si="29"/>
        <v>66174.4</v>
      </c>
      <c r="V90" s="53">
        <f t="shared" si="29"/>
        <v>68703.96</v>
      </c>
      <c r="W90" s="34">
        <f t="shared" si="29"/>
        <v>415500</v>
      </c>
      <c r="X90" s="96">
        <f t="shared" si="29"/>
        <v>430400</v>
      </c>
      <c r="Y90" s="28">
        <f>SUM(S90:V90)</f>
        <v>399000.00000000006</v>
      </c>
      <c r="Z90" s="28">
        <f t="shared" si="3"/>
        <v>0</v>
      </c>
    </row>
    <row r="91" spans="1:26" s="43" customFormat="1" ht="16.5" customHeight="1">
      <c r="A91" s="186" t="s">
        <v>114</v>
      </c>
      <c r="B91" s="181"/>
      <c r="C91" s="181"/>
      <c r="D91" s="181"/>
      <c r="E91" s="181"/>
      <c r="F91" s="41"/>
      <c r="G91" s="184" t="s">
        <v>85</v>
      </c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46">
        <f>R92</f>
        <v>398999.99999999994</v>
      </c>
      <c r="S91" s="75">
        <f t="shared" si="29"/>
        <v>111800</v>
      </c>
      <c r="T91" s="44">
        <f t="shared" si="29"/>
        <v>152321.64</v>
      </c>
      <c r="U91" s="44">
        <f t="shared" si="29"/>
        <v>66174.4</v>
      </c>
      <c r="V91" s="75">
        <f t="shared" si="29"/>
        <v>68703.96</v>
      </c>
      <c r="W91" s="46">
        <f t="shared" si="29"/>
        <v>415500</v>
      </c>
      <c r="X91" s="97">
        <f t="shared" si="29"/>
        <v>430400</v>
      </c>
      <c r="Y91" s="42"/>
      <c r="Z91" s="28">
        <f t="shared" si="3"/>
        <v>0</v>
      </c>
    </row>
    <row r="92" spans="1:26" s="3" customFormat="1" ht="26.25" customHeight="1">
      <c r="A92" s="198" t="s">
        <v>115</v>
      </c>
      <c r="B92" s="199"/>
      <c r="C92" s="199"/>
      <c r="D92" s="199"/>
      <c r="E92" s="199"/>
      <c r="F92" s="200"/>
      <c r="G92" s="220" t="s">
        <v>48</v>
      </c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47">
        <f>R93+R100</f>
        <v>398999.99999999994</v>
      </c>
      <c r="S92" s="77">
        <f aca="true" t="shared" si="30" ref="S92:X92">S93+S100+S110</f>
        <v>111800</v>
      </c>
      <c r="T92" s="30">
        <f>T93+T100</f>
        <v>152321.64</v>
      </c>
      <c r="U92" s="30">
        <f t="shared" si="30"/>
        <v>66174.4</v>
      </c>
      <c r="V92" s="77">
        <f t="shared" si="30"/>
        <v>68703.96</v>
      </c>
      <c r="W92" s="47">
        <f t="shared" si="30"/>
        <v>415500</v>
      </c>
      <c r="X92" s="98">
        <f t="shared" si="30"/>
        <v>430400</v>
      </c>
      <c r="Y92" s="28">
        <f>SUM(S92:V92)</f>
        <v>399000.00000000006</v>
      </c>
      <c r="Z92" s="28">
        <f t="shared" si="3"/>
        <v>0</v>
      </c>
    </row>
    <row r="93" spans="1:26" ht="48.75" customHeight="1">
      <c r="A93" s="192" t="s">
        <v>271</v>
      </c>
      <c r="B93" s="193"/>
      <c r="C93" s="193"/>
      <c r="D93" s="193"/>
      <c r="E93" s="193"/>
      <c r="F93" s="194"/>
      <c r="G93" s="216" t="s">
        <v>207</v>
      </c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48">
        <f>R94</f>
        <v>385709.70999999996</v>
      </c>
      <c r="S93" s="54">
        <f aca="true" t="shared" si="31" ref="S93:X93">S94</f>
        <v>107300</v>
      </c>
      <c r="T93" s="31">
        <f t="shared" si="31"/>
        <v>148560.6</v>
      </c>
      <c r="U93" s="31">
        <f t="shared" si="31"/>
        <v>64174.4</v>
      </c>
      <c r="V93" s="54">
        <f t="shared" si="31"/>
        <v>65674.71</v>
      </c>
      <c r="W93" s="48">
        <f t="shared" si="31"/>
        <v>382500</v>
      </c>
      <c r="X93" s="99">
        <f t="shared" si="31"/>
        <v>397400</v>
      </c>
      <c r="Y93" s="28">
        <f>SUM(S93:V93)</f>
        <v>385709.71</v>
      </c>
      <c r="Z93" s="28">
        <f>R93-S93-T93-U93-V93</f>
        <v>0</v>
      </c>
    </row>
    <row r="94" spans="1:26" ht="24" customHeight="1">
      <c r="A94" s="192" t="s">
        <v>272</v>
      </c>
      <c r="B94" s="193"/>
      <c r="C94" s="193"/>
      <c r="D94" s="193"/>
      <c r="E94" s="193"/>
      <c r="F94" s="194"/>
      <c r="G94" s="216" t="s">
        <v>209</v>
      </c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48">
        <f>R95+R98</f>
        <v>385709.70999999996</v>
      </c>
      <c r="S94" s="54">
        <f aca="true" t="shared" si="32" ref="S94:X94">S95+S98</f>
        <v>107300</v>
      </c>
      <c r="T94" s="31">
        <f t="shared" si="32"/>
        <v>148560.6</v>
      </c>
      <c r="U94" s="31">
        <f t="shared" si="32"/>
        <v>64174.4</v>
      </c>
      <c r="V94" s="54">
        <f t="shared" si="32"/>
        <v>65674.71</v>
      </c>
      <c r="W94" s="113">
        <f t="shared" si="32"/>
        <v>382500</v>
      </c>
      <c r="X94" s="112">
        <f t="shared" si="32"/>
        <v>397400</v>
      </c>
      <c r="Y94" s="28">
        <f>SUM(S94:V94)</f>
        <v>385709.71</v>
      </c>
      <c r="Z94" s="28">
        <f>R94-S94-T94-U94-V94</f>
        <v>0</v>
      </c>
    </row>
    <row r="95" spans="1:26" ht="12.75">
      <c r="A95" s="192" t="s">
        <v>273</v>
      </c>
      <c r="B95" s="193"/>
      <c r="C95" s="193"/>
      <c r="D95" s="193"/>
      <c r="E95" s="193"/>
      <c r="F95" s="194"/>
      <c r="G95" s="216" t="s">
        <v>212</v>
      </c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48">
        <f>R96+R97</f>
        <v>379974.11</v>
      </c>
      <c r="S95" s="54">
        <f aca="true" t="shared" si="33" ref="S95:X95">S96+S97</f>
        <v>107300</v>
      </c>
      <c r="T95" s="31">
        <f t="shared" si="33"/>
        <v>142825</v>
      </c>
      <c r="U95" s="31">
        <f t="shared" si="33"/>
        <v>64174.4</v>
      </c>
      <c r="V95" s="54">
        <f t="shared" si="33"/>
        <v>65674.71</v>
      </c>
      <c r="W95" s="113">
        <f t="shared" si="33"/>
        <v>382500</v>
      </c>
      <c r="X95" s="112">
        <f t="shared" si="33"/>
        <v>382400</v>
      </c>
      <c r="Y95" s="28">
        <f>SUM(S95:V95)</f>
        <v>379974.11000000004</v>
      </c>
      <c r="Z95" s="28">
        <f>R95-S95-T95-U95-V95</f>
        <v>0</v>
      </c>
    </row>
    <row r="96" spans="1:26" ht="12.75">
      <c r="A96" s="192" t="s">
        <v>274</v>
      </c>
      <c r="B96" s="193"/>
      <c r="C96" s="193"/>
      <c r="D96" s="193"/>
      <c r="E96" s="193"/>
      <c r="F96" s="194"/>
      <c r="G96" s="216" t="s">
        <v>33</v>
      </c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49">
        <f>SUM(S96:V96)</f>
        <v>293280.22</v>
      </c>
      <c r="S96" s="85">
        <f>82400</f>
        <v>82400</v>
      </c>
      <c r="T96" s="86">
        <f>55300+70825</f>
        <v>126125</v>
      </c>
      <c r="U96" s="86">
        <f>79700-50000</f>
        <v>29700</v>
      </c>
      <c r="V96" s="85">
        <f>60700-20825+14000+1463.22+108.62-391.62</f>
        <v>55055.22</v>
      </c>
      <c r="W96" s="105">
        <v>298800</v>
      </c>
      <c r="X96" s="102">
        <v>298800</v>
      </c>
      <c r="Y96" s="28">
        <f>SUM(S96:X96)</f>
        <v>890880.22</v>
      </c>
      <c r="Z96" s="28">
        <f t="shared" si="3"/>
        <v>0</v>
      </c>
    </row>
    <row r="97" spans="1:26" ht="12.75">
      <c r="A97" s="192" t="s">
        <v>275</v>
      </c>
      <c r="B97" s="193"/>
      <c r="C97" s="193"/>
      <c r="D97" s="193"/>
      <c r="E97" s="193"/>
      <c r="F97" s="194"/>
      <c r="G97" s="216" t="s">
        <v>34</v>
      </c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49">
        <f>SUM(S97:V97)</f>
        <v>86693.89</v>
      </c>
      <c r="S97" s="85">
        <f>24900</f>
        <v>24900</v>
      </c>
      <c r="T97" s="86">
        <f>16700</f>
        <v>16700</v>
      </c>
      <c r="U97" s="86">
        <f>22800+5410+6264.4</f>
        <v>34474.4</v>
      </c>
      <c r="V97" s="85">
        <f>13500-5410+2137.87+391.62</f>
        <v>10619.49</v>
      </c>
      <c r="W97" s="105">
        <v>83700</v>
      </c>
      <c r="X97" s="102">
        <v>83600</v>
      </c>
      <c r="Y97" s="28">
        <f>SUM(S97:W97)</f>
        <v>170393.89</v>
      </c>
      <c r="Z97" s="28">
        <f>R97-S97-T97-U97-V97</f>
        <v>0</v>
      </c>
    </row>
    <row r="98" spans="1:26" ht="12.75">
      <c r="A98" s="192" t="s">
        <v>276</v>
      </c>
      <c r="B98" s="193"/>
      <c r="C98" s="193"/>
      <c r="D98" s="193"/>
      <c r="E98" s="193"/>
      <c r="F98" s="194"/>
      <c r="G98" s="216" t="s">
        <v>219</v>
      </c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48">
        <f aca="true" t="shared" si="34" ref="R98:X98">R99</f>
        <v>5735.6</v>
      </c>
      <c r="S98" s="54">
        <f t="shared" si="34"/>
        <v>0</v>
      </c>
      <c r="T98" s="31">
        <f t="shared" si="34"/>
        <v>5735.6</v>
      </c>
      <c r="U98" s="31">
        <f t="shared" si="34"/>
        <v>0</v>
      </c>
      <c r="V98" s="54">
        <f t="shared" si="34"/>
        <v>0</v>
      </c>
      <c r="W98" s="113">
        <f t="shared" si="34"/>
        <v>0</v>
      </c>
      <c r="X98" s="112">
        <f t="shared" si="34"/>
        <v>15000</v>
      </c>
      <c r="Y98" s="28">
        <f>SUM(S98:V98)</f>
        <v>5735.6</v>
      </c>
      <c r="Z98" s="28">
        <f>R98-S98-T98-U98-V98</f>
        <v>0</v>
      </c>
    </row>
    <row r="99" spans="1:26" ht="12.75">
      <c r="A99" s="192" t="s">
        <v>277</v>
      </c>
      <c r="B99" s="193"/>
      <c r="C99" s="193"/>
      <c r="D99" s="193"/>
      <c r="E99" s="193"/>
      <c r="F99" s="194"/>
      <c r="G99" s="216" t="s">
        <v>37</v>
      </c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49">
        <f aca="true" t="shared" si="35" ref="R99:R109">SUM(S99:V99)</f>
        <v>5735.6</v>
      </c>
      <c r="S99" s="85">
        <v>0</v>
      </c>
      <c r="T99" s="86">
        <f>12000-6264.4</f>
        <v>5735.6</v>
      </c>
      <c r="U99" s="86">
        <v>0</v>
      </c>
      <c r="V99" s="85">
        <v>0</v>
      </c>
      <c r="W99" s="105">
        <v>0</v>
      </c>
      <c r="X99" s="102">
        <v>15000</v>
      </c>
      <c r="Y99" s="28">
        <f>SUM(S99:V99)</f>
        <v>5735.6</v>
      </c>
      <c r="Z99" s="28">
        <f t="shared" si="3"/>
        <v>0</v>
      </c>
    </row>
    <row r="100" spans="1:26" ht="12.75">
      <c r="A100" s="192" t="s">
        <v>280</v>
      </c>
      <c r="B100" s="193"/>
      <c r="C100" s="193"/>
      <c r="D100" s="193"/>
      <c r="E100" s="193"/>
      <c r="F100" s="194"/>
      <c r="G100" s="216" t="s">
        <v>236</v>
      </c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48">
        <f>R101</f>
        <v>13290.29</v>
      </c>
      <c r="S100" s="54">
        <f aca="true" t="shared" si="36" ref="S100:X101">S101</f>
        <v>4500</v>
      </c>
      <c r="T100" s="31">
        <f t="shared" si="36"/>
        <v>3761.04</v>
      </c>
      <c r="U100" s="31">
        <f t="shared" si="36"/>
        <v>2000</v>
      </c>
      <c r="V100" s="54">
        <f t="shared" si="36"/>
        <v>3029.25</v>
      </c>
      <c r="W100" s="113">
        <f t="shared" si="36"/>
        <v>33000</v>
      </c>
      <c r="X100" s="112">
        <f t="shared" si="36"/>
        <v>33000</v>
      </c>
      <c r="Y100" s="28">
        <f>SUM(S100:V100)</f>
        <v>13290.29</v>
      </c>
      <c r="Z100" s="28">
        <f>R100-S100-T100-U100-V100</f>
        <v>0</v>
      </c>
    </row>
    <row r="101" spans="1:26" ht="24" customHeight="1">
      <c r="A101" s="192" t="s">
        <v>278</v>
      </c>
      <c r="B101" s="193"/>
      <c r="C101" s="193"/>
      <c r="D101" s="193"/>
      <c r="E101" s="193"/>
      <c r="F101" s="194"/>
      <c r="G101" s="216" t="s">
        <v>190</v>
      </c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48">
        <f>R102</f>
        <v>13290.29</v>
      </c>
      <c r="S101" s="54">
        <f t="shared" si="36"/>
        <v>4500</v>
      </c>
      <c r="T101" s="31">
        <f t="shared" si="36"/>
        <v>3761.04</v>
      </c>
      <c r="U101" s="31">
        <f t="shared" si="36"/>
        <v>2000</v>
      </c>
      <c r="V101" s="54">
        <f t="shared" si="36"/>
        <v>3029.25</v>
      </c>
      <c r="W101" s="113">
        <f t="shared" si="36"/>
        <v>33000</v>
      </c>
      <c r="X101" s="112">
        <f t="shared" si="36"/>
        <v>33000</v>
      </c>
      <c r="Y101" s="28">
        <f>SUM(S101:V101)</f>
        <v>13290.29</v>
      </c>
      <c r="Z101" s="28">
        <f>R101-S101-T101-U101-V101</f>
        <v>0</v>
      </c>
    </row>
    <row r="102" spans="1:26" ht="24" customHeight="1">
      <c r="A102" s="192" t="s">
        <v>279</v>
      </c>
      <c r="B102" s="193"/>
      <c r="C102" s="193"/>
      <c r="D102" s="193"/>
      <c r="E102" s="193"/>
      <c r="F102" s="194"/>
      <c r="G102" s="216" t="s">
        <v>237</v>
      </c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48">
        <f>SUM(R103:R109)</f>
        <v>13290.29</v>
      </c>
      <c r="S102" s="54">
        <f aca="true" t="shared" si="37" ref="S102:X102">SUM(S103:S109)</f>
        <v>4500</v>
      </c>
      <c r="T102" s="31">
        <f t="shared" si="37"/>
        <v>3761.04</v>
      </c>
      <c r="U102" s="31">
        <f t="shared" si="37"/>
        <v>2000</v>
      </c>
      <c r="V102" s="54">
        <f t="shared" si="37"/>
        <v>3029.25</v>
      </c>
      <c r="W102" s="113">
        <f t="shared" si="37"/>
        <v>33000</v>
      </c>
      <c r="X102" s="112">
        <f t="shared" si="37"/>
        <v>33000</v>
      </c>
      <c r="Y102" s="28">
        <f>SUM(S102:V102)</f>
        <v>13290.29</v>
      </c>
      <c r="Z102" s="28">
        <f>R102-S102-T102-U102-V102</f>
        <v>0</v>
      </c>
    </row>
    <row r="103" spans="1:26" ht="12.75">
      <c r="A103" s="192" t="s">
        <v>281</v>
      </c>
      <c r="B103" s="193"/>
      <c r="C103" s="193"/>
      <c r="D103" s="193"/>
      <c r="E103" s="193"/>
      <c r="F103" s="194"/>
      <c r="G103" s="216" t="s">
        <v>38</v>
      </c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49">
        <f t="shared" si="35"/>
        <v>7891.38</v>
      </c>
      <c r="S103" s="85">
        <f>2000</f>
        <v>2000</v>
      </c>
      <c r="T103" s="86">
        <f>2000</f>
        <v>2000</v>
      </c>
      <c r="U103" s="86">
        <f>2000</f>
        <v>2000</v>
      </c>
      <c r="V103" s="85">
        <f>2000-108.62</f>
        <v>1891.38</v>
      </c>
      <c r="W103" s="105">
        <v>9000</v>
      </c>
      <c r="X103" s="102">
        <v>9000</v>
      </c>
      <c r="Y103" s="28">
        <f>SUM(S103:W103)</f>
        <v>16891.38</v>
      </c>
      <c r="Z103" s="28">
        <f t="shared" si="3"/>
        <v>0</v>
      </c>
    </row>
    <row r="104" spans="1:26" ht="12.75" hidden="1">
      <c r="A104" s="192" t="s">
        <v>282</v>
      </c>
      <c r="B104" s="193"/>
      <c r="C104" s="193"/>
      <c r="D104" s="193"/>
      <c r="E104" s="193"/>
      <c r="F104" s="194"/>
      <c r="G104" s="216" t="s">
        <v>39</v>
      </c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49">
        <f t="shared" si="35"/>
        <v>0</v>
      </c>
      <c r="S104" s="85"/>
      <c r="T104" s="86"/>
      <c r="U104" s="86"/>
      <c r="V104" s="85"/>
      <c r="W104" s="105">
        <v>0</v>
      </c>
      <c r="X104" s="102">
        <v>0</v>
      </c>
      <c r="Y104" s="28">
        <f>SUM(S104:V104)</f>
        <v>0</v>
      </c>
      <c r="Z104" s="28">
        <f t="shared" si="3"/>
        <v>0</v>
      </c>
    </row>
    <row r="105" spans="1:26" ht="12.75">
      <c r="A105" s="192" t="s">
        <v>283</v>
      </c>
      <c r="B105" s="193"/>
      <c r="C105" s="193"/>
      <c r="D105" s="193"/>
      <c r="E105" s="193"/>
      <c r="F105" s="194"/>
      <c r="G105" s="216" t="s">
        <v>40</v>
      </c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49">
        <f t="shared" si="35"/>
        <v>5398.91</v>
      </c>
      <c r="S105" s="85">
        <v>2500</v>
      </c>
      <c r="T105" s="86">
        <f>2000-238.96</f>
        <v>1761.04</v>
      </c>
      <c r="U105" s="86">
        <f>1000-1000</f>
        <v>0</v>
      </c>
      <c r="V105" s="85">
        <f>2500-1137.87-224.26</f>
        <v>1137.8700000000001</v>
      </c>
      <c r="W105" s="105">
        <v>9000</v>
      </c>
      <c r="X105" s="102">
        <v>9000</v>
      </c>
      <c r="Y105" s="28">
        <f>SUM(S105:W105)</f>
        <v>14398.91</v>
      </c>
      <c r="Z105" s="28">
        <f t="shared" si="3"/>
        <v>0</v>
      </c>
    </row>
    <row r="106" spans="1:26" ht="12.75" hidden="1">
      <c r="A106" s="192" t="s">
        <v>284</v>
      </c>
      <c r="B106" s="193"/>
      <c r="C106" s="193"/>
      <c r="D106" s="193"/>
      <c r="E106" s="193"/>
      <c r="F106" s="194"/>
      <c r="G106" s="216" t="s">
        <v>41</v>
      </c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49">
        <f>SUM(S106:V106)</f>
        <v>0</v>
      </c>
      <c r="S106" s="85">
        <v>0</v>
      </c>
      <c r="T106" s="86">
        <v>0</v>
      </c>
      <c r="U106" s="86">
        <v>0</v>
      </c>
      <c r="V106" s="85">
        <v>0</v>
      </c>
      <c r="W106" s="105">
        <v>0</v>
      </c>
      <c r="X106" s="102">
        <v>0</v>
      </c>
      <c r="Y106" s="28">
        <f>SUM(S106:W106)</f>
        <v>0</v>
      </c>
      <c r="Z106" s="28">
        <f t="shared" si="3"/>
        <v>0</v>
      </c>
    </row>
    <row r="107" spans="1:26" ht="12.75">
      <c r="A107" s="192" t="s">
        <v>285</v>
      </c>
      <c r="B107" s="193"/>
      <c r="C107" s="193"/>
      <c r="D107" s="193"/>
      <c r="E107" s="193"/>
      <c r="F107" s="194"/>
      <c r="G107" s="216" t="s">
        <v>42</v>
      </c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49">
        <f>SUM(S107:V107)</f>
        <v>0</v>
      </c>
      <c r="S107" s="85">
        <v>0</v>
      </c>
      <c r="T107" s="86">
        <v>0</v>
      </c>
      <c r="U107" s="86">
        <v>0</v>
      </c>
      <c r="V107" s="85">
        <f>5000-5000</f>
        <v>0</v>
      </c>
      <c r="W107" s="105">
        <v>5000</v>
      </c>
      <c r="X107" s="102">
        <v>5000</v>
      </c>
      <c r="Y107" s="28">
        <f>SUM(S107:W107)</f>
        <v>5000</v>
      </c>
      <c r="Z107" s="28">
        <f t="shared" si="3"/>
        <v>0</v>
      </c>
    </row>
    <row r="108" spans="1:26" ht="12.75" hidden="1">
      <c r="A108" s="192" t="s">
        <v>286</v>
      </c>
      <c r="B108" s="193"/>
      <c r="C108" s="193"/>
      <c r="D108" s="193"/>
      <c r="E108" s="193"/>
      <c r="F108" s="194"/>
      <c r="G108" s="216" t="s">
        <v>43</v>
      </c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49">
        <f t="shared" si="35"/>
        <v>0</v>
      </c>
      <c r="S108" s="85">
        <v>0</v>
      </c>
      <c r="T108" s="86">
        <v>0</v>
      </c>
      <c r="U108" s="86">
        <v>0</v>
      </c>
      <c r="V108" s="85">
        <v>0</v>
      </c>
      <c r="W108" s="105">
        <v>0</v>
      </c>
      <c r="X108" s="102">
        <v>0</v>
      </c>
      <c r="Y108" s="28">
        <f>SUM(S108:X108)</f>
        <v>0</v>
      </c>
      <c r="Z108" s="28">
        <f t="shared" si="3"/>
        <v>0</v>
      </c>
    </row>
    <row r="109" spans="1:26" ht="12.75">
      <c r="A109" s="192" t="s">
        <v>287</v>
      </c>
      <c r="B109" s="193"/>
      <c r="C109" s="193"/>
      <c r="D109" s="193"/>
      <c r="E109" s="193"/>
      <c r="F109" s="194"/>
      <c r="G109" s="224" t="s">
        <v>70</v>
      </c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49">
        <f t="shared" si="35"/>
        <v>0</v>
      </c>
      <c r="S109" s="85">
        <v>0</v>
      </c>
      <c r="T109" s="86">
        <f>2850-2850</f>
        <v>0</v>
      </c>
      <c r="U109" s="86">
        <v>0</v>
      </c>
      <c r="V109" s="85">
        <f>7150-7150</f>
        <v>0</v>
      </c>
      <c r="W109" s="105">
        <v>10000</v>
      </c>
      <c r="X109" s="102">
        <v>10000</v>
      </c>
      <c r="Y109" s="28">
        <f>SUM(S109:W109)</f>
        <v>10000</v>
      </c>
      <c r="Z109" s="28">
        <f>R109-S109-T109-U109-V109</f>
        <v>0</v>
      </c>
    </row>
    <row r="110" spans="1:26" s="4" customFormat="1" ht="12.75">
      <c r="A110" s="201" t="s">
        <v>467</v>
      </c>
      <c r="B110" s="202"/>
      <c r="C110" s="202"/>
      <c r="D110" s="202"/>
      <c r="E110" s="202"/>
      <c r="F110" s="185"/>
      <c r="G110" s="182" t="s">
        <v>468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34">
        <f>R111</f>
        <v>2850.07</v>
      </c>
      <c r="S110" s="53">
        <f aca="true" t="shared" si="38" ref="S110:X112">S111</f>
        <v>0</v>
      </c>
      <c r="T110" s="29">
        <f t="shared" si="38"/>
        <v>2850.07</v>
      </c>
      <c r="U110" s="29">
        <f t="shared" si="38"/>
        <v>0</v>
      </c>
      <c r="V110" s="53">
        <f t="shared" si="38"/>
        <v>0</v>
      </c>
      <c r="W110" s="123">
        <f t="shared" si="38"/>
        <v>0</v>
      </c>
      <c r="X110" s="126">
        <f t="shared" si="38"/>
        <v>0</v>
      </c>
      <c r="Y110" s="109">
        <f>SUM(S110:V110)</f>
        <v>2850.07</v>
      </c>
      <c r="Z110" s="109">
        <f>R110-S110-T110-U110-V110</f>
        <v>0</v>
      </c>
    </row>
    <row r="111" spans="1:26" ht="25.5" customHeight="1">
      <c r="A111" s="192" t="s">
        <v>469</v>
      </c>
      <c r="B111" s="193"/>
      <c r="C111" s="193"/>
      <c r="D111" s="193"/>
      <c r="E111" s="193"/>
      <c r="F111" s="194"/>
      <c r="G111" s="216" t="s">
        <v>470</v>
      </c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48">
        <f>R112</f>
        <v>2850.07</v>
      </c>
      <c r="S111" s="54">
        <f t="shared" si="38"/>
        <v>0</v>
      </c>
      <c r="T111" s="31">
        <f t="shared" si="38"/>
        <v>2850.07</v>
      </c>
      <c r="U111" s="31">
        <f t="shared" si="38"/>
        <v>0</v>
      </c>
      <c r="V111" s="54">
        <f t="shared" si="38"/>
        <v>0</v>
      </c>
      <c r="W111" s="113">
        <f t="shared" si="38"/>
        <v>0</v>
      </c>
      <c r="X111" s="112">
        <f t="shared" si="38"/>
        <v>0</v>
      </c>
      <c r="Y111" s="28">
        <f>SUM(S111:V111)</f>
        <v>2850.07</v>
      </c>
      <c r="Z111" s="28">
        <f>R111-S111-T111-U111-V111</f>
        <v>0</v>
      </c>
    </row>
    <row r="112" spans="1:26" ht="12.75" customHeight="1">
      <c r="A112" s="192" t="s">
        <v>472</v>
      </c>
      <c r="B112" s="193"/>
      <c r="C112" s="193"/>
      <c r="D112" s="193"/>
      <c r="E112" s="193"/>
      <c r="F112" s="194"/>
      <c r="G112" s="216" t="s">
        <v>237</v>
      </c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48">
        <f>R113</f>
        <v>2850.07</v>
      </c>
      <c r="S112" s="54">
        <f t="shared" si="38"/>
        <v>0</v>
      </c>
      <c r="T112" s="31">
        <f t="shared" si="38"/>
        <v>2850.07</v>
      </c>
      <c r="U112" s="31">
        <f t="shared" si="38"/>
        <v>0</v>
      </c>
      <c r="V112" s="54">
        <f t="shared" si="38"/>
        <v>0</v>
      </c>
      <c r="W112" s="113">
        <f t="shared" si="38"/>
        <v>0</v>
      </c>
      <c r="X112" s="112">
        <f t="shared" si="38"/>
        <v>0</v>
      </c>
      <c r="Y112" s="28">
        <f>SUM(S112:V112)</f>
        <v>2850.07</v>
      </c>
      <c r="Z112" s="28">
        <f>R112-S112-T112-U112-V112</f>
        <v>0</v>
      </c>
    </row>
    <row r="113" spans="1:26" ht="12.75" customHeight="1">
      <c r="A113" s="192" t="s">
        <v>471</v>
      </c>
      <c r="B113" s="193"/>
      <c r="C113" s="193"/>
      <c r="D113" s="193"/>
      <c r="E113" s="193"/>
      <c r="F113" s="194"/>
      <c r="G113" s="216" t="s">
        <v>40</v>
      </c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49">
        <f>SUM(S113:V113)</f>
        <v>2850.07</v>
      </c>
      <c r="S113" s="85">
        <v>0</v>
      </c>
      <c r="T113" s="86">
        <f>3000-149.93</f>
        <v>2850.07</v>
      </c>
      <c r="U113" s="86">
        <v>0</v>
      </c>
      <c r="V113" s="85">
        <f>500-500</f>
        <v>0</v>
      </c>
      <c r="W113" s="105">
        <v>0</v>
      </c>
      <c r="X113" s="102">
        <v>0</v>
      </c>
      <c r="Y113" s="28">
        <f>SUM(S113:W113)</f>
        <v>2850.07</v>
      </c>
      <c r="Z113" s="28">
        <f>R113-S113-T113-U113-V113</f>
        <v>0</v>
      </c>
    </row>
    <row r="114" spans="1:26" s="4" customFormat="1" ht="12.75">
      <c r="A114" s="201" t="s">
        <v>249</v>
      </c>
      <c r="B114" s="202"/>
      <c r="C114" s="202"/>
      <c r="D114" s="202"/>
      <c r="E114" s="202"/>
      <c r="F114" s="72"/>
      <c r="G114" s="182" t="s">
        <v>247</v>
      </c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34">
        <f>R115</f>
        <v>20000</v>
      </c>
      <c r="S114" s="53">
        <f aca="true" t="shared" si="39" ref="S114:X118">S115</f>
        <v>0</v>
      </c>
      <c r="T114" s="29">
        <f t="shared" si="39"/>
        <v>5300</v>
      </c>
      <c r="U114" s="29">
        <f t="shared" si="39"/>
        <v>0</v>
      </c>
      <c r="V114" s="53">
        <f t="shared" si="39"/>
        <v>14700</v>
      </c>
      <c r="W114" s="34">
        <f t="shared" si="39"/>
        <v>20000</v>
      </c>
      <c r="X114" s="96">
        <f t="shared" si="39"/>
        <v>20000</v>
      </c>
      <c r="Y114" s="109"/>
      <c r="Z114" s="109">
        <f aca="true" t="shared" si="40" ref="Z114:Z121">R114-S114-T114-U114-V114</f>
        <v>0</v>
      </c>
    </row>
    <row r="115" spans="1:26" s="43" customFormat="1" ht="12.75">
      <c r="A115" s="186" t="s">
        <v>248</v>
      </c>
      <c r="B115" s="181"/>
      <c r="C115" s="181"/>
      <c r="D115" s="181"/>
      <c r="E115" s="181"/>
      <c r="F115" s="41"/>
      <c r="G115" s="184" t="s">
        <v>85</v>
      </c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46">
        <f>R116</f>
        <v>20000</v>
      </c>
      <c r="S115" s="75">
        <f t="shared" si="39"/>
        <v>0</v>
      </c>
      <c r="T115" s="44">
        <f t="shared" si="39"/>
        <v>5300</v>
      </c>
      <c r="U115" s="44">
        <f t="shared" si="39"/>
        <v>0</v>
      </c>
      <c r="V115" s="75">
        <f t="shared" si="39"/>
        <v>14700</v>
      </c>
      <c r="W115" s="46">
        <f t="shared" si="39"/>
        <v>20000</v>
      </c>
      <c r="X115" s="97">
        <f t="shared" si="39"/>
        <v>20000</v>
      </c>
      <c r="Y115" s="42"/>
      <c r="Z115" s="28">
        <f>R115-S115-T115-U115-V115</f>
        <v>0</v>
      </c>
    </row>
    <row r="116" spans="1:26" s="3" customFormat="1" ht="12.75">
      <c r="A116" s="198" t="s">
        <v>250</v>
      </c>
      <c r="B116" s="199"/>
      <c r="C116" s="199"/>
      <c r="D116" s="199"/>
      <c r="E116" s="199"/>
      <c r="F116" s="200"/>
      <c r="G116" s="220" t="s">
        <v>78</v>
      </c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47">
        <f>R117</f>
        <v>20000</v>
      </c>
      <c r="S116" s="77">
        <f t="shared" si="39"/>
        <v>0</v>
      </c>
      <c r="T116" s="30">
        <f t="shared" si="39"/>
        <v>5300</v>
      </c>
      <c r="U116" s="30">
        <f t="shared" si="39"/>
        <v>0</v>
      </c>
      <c r="V116" s="77">
        <f t="shared" si="39"/>
        <v>14700</v>
      </c>
      <c r="W116" s="47">
        <f t="shared" si="39"/>
        <v>20000</v>
      </c>
      <c r="X116" s="98">
        <f t="shared" si="39"/>
        <v>20000</v>
      </c>
      <c r="Y116" s="28">
        <f>SUM(S116:V116)</f>
        <v>20000</v>
      </c>
      <c r="Z116" s="28">
        <f t="shared" si="40"/>
        <v>0</v>
      </c>
    </row>
    <row r="117" spans="1:26" ht="12.75">
      <c r="A117" s="192" t="s">
        <v>251</v>
      </c>
      <c r="B117" s="193"/>
      <c r="C117" s="193"/>
      <c r="D117" s="193"/>
      <c r="E117" s="193"/>
      <c r="F117" s="194"/>
      <c r="G117" s="216" t="s">
        <v>236</v>
      </c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48">
        <f>R118</f>
        <v>20000</v>
      </c>
      <c r="S117" s="54">
        <f t="shared" si="39"/>
        <v>0</v>
      </c>
      <c r="T117" s="31">
        <f t="shared" si="39"/>
        <v>5300</v>
      </c>
      <c r="U117" s="31">
        <f t="shared" si="39"/>
        <v>0</v>
      </c>
      <c r="V117" s="54">
        <f t="shared" si="39"/>
        <v>14700</v>
      </c>
      <c r="W117" s="48">
        <f t="shared" si="39"/>
        <v>20000</v>
      </c>
      <c r="X117" s="99">
        <f t="shared" si="39"/>
        <v>20000</v>
      </c>
      <c r="Y117" s="28">
        <f>SUM(S117:V117)</f>
        <v>20000</v>
      </c>
      <c r="Z117" s="28">
        <f t="shared" si="40"/>
        <v>0</v>
      </c>
    </row>
    <row r="118" spans="1:26" ht="24" customHeight="1">
      <c r="A118" s="192" t="s">
        <v>252</v>
      </c>
      <c r="B118" s="193"/>
      <c r="C118" s="193"/>
      <c r="D118" s="193"/>
      <c r="E118" s="193"/>
      <c r="F118" s="194"/>
      <c r="G118" s="216" t="s">
        <v>190</v>
      </c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48">
        <f>R119</f>
        <v>20000</v>
      </c>
      <c r="S118" s="54">
        <f t="shared" si="39"/>
        <v>0</v>
      </c>
      <c r="T118" s="31">
        <f t="shared" si="39"/>
        <v>5300</v>
      </c>
      <c r="U118" s="31">
        <f t="shared" si="39"/>
        <v>0</v>
      </c>
      <c r="V118" s="54">
        <f t="shared" si="39"/>
        <v>14700</v>
      </c>
      <c r="W118" s="48">
        <f t="shared" si="39"/>
        <v>20000</v>
      </c>
      <c r="X118" s="99">
        <f t="shared" si="39"/>
        <v>20000</v>
      </c>
      <c r="Y118" s="28">
        <f>SUM(S118:V118)</f>
        <v>20000</v>
      </c>
      <c r="Z118" s="28">
        <f>R118-S118-T118-U118-V118</f>
        <v>0</v>
      </c>
    </row>
    <row r="119" spans="1:26" ht="24" customHeight="1">
      <c r="A119" s="192" t="s">
        <v>253</v>
      </c>
      <c r="B119" s="193"/>
      <c r="C119" s="193"/>
      <c r="D119" s="193"/>
      <c r="E119" s="193"/>
      <c r="F119" s="194"/>
      <c r="G119" s="216" t="s">
        <v>237</v>
      </c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48">
        <f>R120+R121</f>
        <v>20000</v>
      </c>
      <c r="S119" s="54">
        <f aca="true" t="shared" si="41" ref="S119:X119">S120+S121</f>
        <v>0</v>
      </c>
      <c r="T119" s="31">
        <f t="shared" si="41"/>
        <v>5300</v>
      </c>
      <c r="U119" s="31">
        <f t="shared" si="41"/>
        <v>0</v>
      </c>
      <c r="V119" s="54">
        <f t="shared" si="41"/>
        <v>14700</v>
      </c>
      <c r="W119" s="48">
        <f t="shared" si="41"/>
        <v>20000</v>
      </c>
      <c r="X119" s="99">
        <f t="shared" si="41"/>
        <v>20000</v>
      </c>
      <c r="Y119" s="28">
        <f>SUM(S119:V119)</f>
        <v>20000</v>
      </c>
      <c r="Z119" s="28">
        <f>R119-S119-T119-U119-V119</f>
        <v>0</v>
      </c>
    </row>
    <row r="120" spans="1:26" s="111" customFormat="1" ht="12.75">
      <c r="A120" s="177" t="s">
        <v>254</v>
      </c>
      <c r="B120" s="178"/>
      <c r="C120" s="178"/>
      <c r="D120" s="178"/>
      <c r="E120" s="178"/>
      <c r="F120" s="203"/>
      <c r="G120" s="233" t="s">
        <v>43</v>
      </c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105">
        <f>SUM(S120:V120)</f>
        <v>20000</v>
      </c>
      <c r="S120" s="85">
        <v>0</v>
      </c>
      <c r="T120" s="86">
        <v>5300</v>
      </c>
      <c r="U120" s="86">
        <v>0</v>
      </c>
      <c r="V120" s="85">
        <f>14700</f>
        <v>14700</v>
      </c>
      <c r="W120" s="105">
        <v>0</v>
      </c>
      <c r="X120" s="102">
        <v>0</v>
      </c>
      <c r="Y120" s="110">
        <f>SUM(S120:X120)</f>
        <v>20000</v>
      </c>
      <c r="Z120" s="110">
        <f t="shared" si="40"/>
        <v>0</v>
      </c>
    </row>
    <row r="121" spans="1:26" s="111" customFormat="1" ht="12.75">
      <c r="A121" s="177" t="s">
        <v>255</v>
      </c>
      <c r="B121" s="178"/>
      <c r="C121" s="178"/>
      <c r="D121" s="178"/>
      <c r="E121" s="178"/>
      <c r="F121" s="203"/>
      <c r="G121" s="224" t="s">
        <v>70</v>
      </c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105">
        <f>SUM(S121:V121)</f>
        <v>0</v>
      </c>
      <c r="S121" s="85">
        <f>5000-5000</f>
        <v>0</v>
      </c>
      <c r="T121" s="86">
        <f>5000-300-4700</f>
        <v>0</v>
      </c>
      <c r="U121" s="86">
        <f>5000-5000</f>
        <v>0</v>
      </c>
      <c r="V121" s="85">
        <f>5000-5000</f>
        <v>0</v>
      </c>
      <c r="W121" s="105">
        <v>20000</v>
      </c>
      <c r="X121" s="102">
        <v>20000</v>
      </c>
      <c r="Y121" s="110">
        <f>SUM(S121:X121)</f>
        <v>40000</v>
      </c>
      <c r="Z121" s="110">
        <f t="shared" si="40"/>
        <v>0</v>
      </c>
    </row>
    <row r="122" spans="1:26" ht="16.5" customHeight="1">
      <c r="A122" s="201" t="s">
        <v>116</v>
      </c>
      <c r="B122" s="202"/>
      <c r="C122" s="202"/>
      <c r="D122" s="202"/>
      <c r="E122" s="202"/>
      <c r="F122" s="72"/>
      <c r="G122" s="288" t="s">
        <v>98</v>
      </c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34">
        <f aca="true" t="shared" si="42" ref="R122:X123">R123</f>
        <v>591094.23</v>
      </c>
      <c r="S122" s="53">
        <f t="shared" si="42"/>
        <v>5000</v>
      </c>
      <c r="T122" s="29">
        <f t="shared" si="42"/>
        <v>562096</v>
      </c>
      <c r="U122" s="29">
        <f t="shared" si="42"/>
        <v>6604</v>
      </c>
      <c r="V122" s="53">
        <f t="shared" si="42"/>
        <v>17394.23</v>
      </c>
      <c r="W122" s="34">
        <f t="shared" si="42"/>
        <v>277400</v>
      </c>
      <c r="X122" s="96">
        <f t="shared" si="42"/>
        <v>284100</v>
      </c>
      <c r="Y122" s="28"/>
      <c r="Z122" s="28">
        <f>R122-S122-T122-U122-V122</f>
        <v>0</v>
      </c>
    </row>
    <row r="123" spans="1:26" ht="24.75" customHeight="1">
      <c r="A123" s="186" t="s">
        <v>117</v>
      </c>
      <c r="B123" s="181"/>
      <c r="C123" s="181"/>
      <c r="D123" s="181"/>
      <c r="E123" s="181"/>
      <c r="F123" s="211"/>
      <c r="G123" s="231" t="s">
        <v>99</v>
      </c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46">
        <f t="shared" si="42"/>
        <v>591094.23</v>
      </c>
      <c r="S123" s="75">
        <f t="shared" si="42"/>
        <v>5000</v>
      </c>
      <c r="T123" s="44">
        <f t="shared" si="42"/>
        <v>562096</v>
      </c>
      <c r="U123" s="44">
        <f t="shared" si="42"/>
        <v>6604</v>
      </c>
      <c r="V123" s="75">
        <f t="shared" si="42"/>
        <v>17394.23</v>
      </c>
      <c r="W123" s="46">
        <f t="shared" si="42"/>
        <v>277400</v>
      </c>
      <c r="X123" s="97">
        <f t="shared" si="42"/>
        <v>284100</v>
      </c>
      <c r="Y123" s="28"/>
      <c r="Z123" s="28">
        <f>R123-S123-T123-U123-V123</f>
        <v>0</v>
      </c>
    </row>
    <row r="124" spans="1:26" ht="24.75" customHeight="1">
      <c r="A124" s="198" t="s">
        <v>118</v>
      </c>
      <c r="B124" s="199"/>
      <c r="C124" s="199"/>
      <c r="D124" s="199"/>
      <c r="E124" s="199"/>
      <c r="F124" s="73"/>
      <c r="G124" s="290" t="s">
        <v>100</v>
      </c>
      <c r="H124" s="291"/>
      <c r="I124" s="291"/>
      <c r="J124" s="291"/>
      <c r="K124" s="291"/>
      <c r="L124" s="291"/>
      <c r="M124" s="291"/>
      <c r="N124" s="291"/>
      <c r="O124" s="291"/>
      <c r="P124" s="291"/>
      <c r="Q124" s="291"/>
      <c r="R124" s="47">
        <f>R125+R132</f>
        <v>591094.23</v>
      </c>
      <c r="S124" s="77">
        <f aca="true" t="shared" si="43" ref="S124:X124">S125+S132</f>
        <v>5000</v>
      </c>
      <c r="T124" s="30">
        <f t="shared" si="43"/>
        <v>562096</v>
      </c>
      <c r="U124" s="30">
        <f t="shared" si="43"/>
        <v>6604</v>
      </c>
      <c r="V124" s="77">
        <f t="shared" si="43"/>
        <v>17394.23</v>
      </c>
      <c r="W124" s="47">
        <f t="shared" si="43"/>
        <v>277400</v>
      </c>
      <c r="X124" s="98">
        <f t="shared" si="43"/>
        <v>284100</v>
      </c>
      <c r="Y124" s="28"/>
      <c r="Z124" s="28">
        <f>R124-S124-T124-U124-V124</f>
        <v>0</v>
      </c>
    </row>
    <row r="125" spans="1:26" ht="48.75" customHeight="1">
      <c r="A125" s="192" t="s">
        <v>422</v>
      </c>
      <c r="B125" s="193"/>
      <c r="C125" s="193"/>
      <c r="D125" s="193"/>
      <c r="E125" s="193"/>
      <c r="F125" s="194"/>
      <c r="G125" s="216" t="s">
        <v>207</v>
      </c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48">
        <f>R126</f>
        <v>366994.93</v>
      </c>
      <c r="S125" s="54">
        <f aca="true" t="shared" si="44" ref="S125:X125">S126</f>
        <v>0</v>
      </c>
      <c r="T125" s="31">
        <f t="shared" si="44"/>
        <v>350614</v>
      </c>
      <c r="U125" s="31">
        <f t="shared" si="44"/>
        <v>0</v>
      </c>
      <c r="V125" s="54">
        <f t="shared" si="44"/>
        <v>16380.93</v>
      </c>
      <c r="W125" s="48">
        <f t="shared" si="44"/>
        <v>0</v>
      </c>
      <c r="X125" s="99">
        <f t="shared" si="44"/>
        <v>0</v>
      </c>
      <c r="Y125" s="28">
        <f>SUM(S125:V125)</f>
        <v>366994.93</v>
      </c>
      <c r="Z125" s="28">
        <f aca="true" t="shared" si="45" ref="Z125:Z131">R125-S125-T125-U125-V125</f>
        <v>0</v>
      </c>
    </row>
    <row r="126" spans="1:26" ht="24" customHeight="1">
      <c r="A126" s="192" t="s">
        <v>423</v>
      </c>
      <c r="B126" s="193"/>
      <c r="C126" s="193"/>
      <c r="D126" s="193"/>
      <c r="E126" s="193"/>
      <c r="F126" s="194"/>
      <c r="G126" s="216" t="s">
        <v>209</v>
      </c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48">
        <f>R127+R130</f>
        <v>366994.93</v>
      </c>
      <c r="S126" s="54">
        <f aca="true" t="shared" si="46" ref="S126:X126">S127+S130</f>
        <v>0</v>
      </c>
      <c r="T126" s="31">
        <f t="shared" si="46"/>
        <v>350614</v>
      </c>
      <c r="U126" s="31">
        <f t="shared" si="46"/>
        <v>0</v>
      </c>
      <c r="V126" s="54">
        <f t="shared" si="46"/>
        <v>16380.93</v>
      </c>
      <c r="W126" s="48">
        <f t="shared" si="46"/>
        <v>0</v>
      </c>
      <c r="X126" s="99">
        <f t="shared" si="46"/>
        <v>0</v>
      </c>
      <c r="Y126" s="28">
        <f>SUM(S126:V126)</f>
        <v>366994.93</v>
      </c>
      <c r="Z126" s="28">
        <f t="shared" si="45"/>
        <v>0</v>
      </c>
    </row>
    <row r="127" spans="1:26" ht="12.75">
      <c r="A127" s="192" t="s">
        <v>424</v>
      </c>
      <c r="B127" s="193"/>
      <c r="C127" s="193"/>
      <c r="D127" s="193"/>
      <c r="E127" s="193"/>
      <c r="F127" s="194"/>
      <c r="G127" s="216" t="s">
        <v>212</v>
      </c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48">
        <f>R128+R129</f>
        <v>366994.93</v>
      </c>
      <c r="S127" s="54">
        <f aca="true" t="shared" si="47" ref="S127:X127">S128+S129</f>
        <v>0</v>
      </c>
      <c r="T127" s="31">
        <f t="shared" si="47"/>
        <v>350614</v>
      </c>
      <c r="U127" s="31">
        <f t="shared" si="47"/>
        <v>0</v>
      </c>
      <c r="V127" s="54">
        <f t="shared" si="47"/>
        <v>16380.93</v>
      </c>
      <c r="W127" s="48">
        <f t="shared" si="47"/>
        <v>0</v>
      </c>
      <c r="X127" s="99">
        <f t="shared" si="47"/>
        <v>0</v>
      </c>
      <c r="Y127" s="28">
        <f>SUM(S127:V127)</f>
        <v>366994.93</v>
      </c>
      <c r="Z127" s="28">
        <f t="shared" si="45"/>
        <v>0</v>
      </c>
    </row>
    <row r="128" spans="1:26" ht="12.75">
      <c r="A128" s="192" t="s">
        <v>425</v>
      </c>
      <c r="B128" s="193"/>
      <c r="C128" s="193"/>
      <c r="D128" s="193"/>
      <c r="E128" s="193"/>
      <c r="F128" s="194"/>
      <c r="G128" s="216" t="s">
        <v>33</v>
      </c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49">
        <f>SUM(S128:V128)</f>
        <v>281824.31</v>
      </c>
      <c r="S128" s="85">
        <v>0</v>
      </c>
      <c r="T128" s="86">
        <f>298000-28000</f>
        <v>270000</v>
      </c>
      <c r="U128" s="86">
        <v>0</v>
      </c>
      <c r="V128" s="85">
        <f>6439.83+5384.48</f>
        <v>11824.31</v>
      </c>
      <c r="W128" s="105">
        <v>0</v>
      </c>
      <c r="X128" s="102">
        <v>0</v>
      </c>
      <c r="Y128" s="28">
        <f>SUM(S128:X128)</f>
        <v>281824.31</v>
      </c>
      <c r="Z128" s="28">
        <f t="shared" si="45"/>
        <v>0</v>
      </c>
    </row>
    <row r="129" spans="1:26" ht="12.75">
      <c r="A129" s="192" t="s">
        <v>426</v>
      </c>
      <c r="B129" s="193"/>
      <c r="C129" s="193"/>
      <c r="D129" s="193"/>
      <c r="E129" s="193"/>
      <c r="F129" s="194"/>
      <c r="G129" s="216" t="s">
        <v>34</v>
      </c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49">
        <f>SUM(S129:V129)</f>
        <v>85170.62</v>
      </c>
      <c r="S129" s="85">
        <v>0</v>
      </c>
      <c r="T129" s="86">
        <f>80614</f>
        <v>80614</v>
      </c>
      <c r="U129" s="86">
        <v>0</v>
      </c>
      <c r="V129" s="85">
        <f>1353.19+2532.11+671.32</f>
        <v>4556.62</v>
      </c>
      <c r="W129" s="105">
        <v>0</v>
      </c>
      <c r="X129" s="102">
        <v>0</v>
      </c>
      <c r="Y129" s="28">
        <f>SUM(S129:X129)</f>
        <v>85170.62</v>
      </c>
      <c r="Z129" s="28">
        <f t="shared" si="45"/>
        <v>0</v>
      </c>
    </row>
    <row r="130" spans="1:26" ht="12.75" hidden="1">
      <c r="A130" s="192" t="s">
        <v>427</v>
      </c>
      <c r="B130" s="193"/>
      <c r="C130" s="193"/>
      <c r="D130" s="193"/>
      <c r="E130" s="193"/>
      <c r="F130" s="194"/>
      <c r="G130" s="216" t="s">
        <v>219</v>
      </c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48">
        <f>R131</f>
        <v>0</v>
      </c>
      <c r="S130" s="54">
        <f aca="true" t="shared" si="48" ref="S130:X130">S131</f>
        <v>0</v>
      </c>
      <c r="T130" s="31">
        <f t="shared" si="48"/>
        <v>0</v>
      </c>
      <c r="U130" s="31">
        <f t="shared" si="48"/>
        <v>0</v>
      </c>
      <c r="V130" s="54">
        <f t="shared" si="48"/>
        <v>0</v>
      </c>
      <c r="W130" s="48">
        <f t="shared" si="48"/>
        <v>0</v>
      </c>
      <c r="X130" s="99">
        <f t="shared" si="48"/>
        <v>0</v>
      </c>
      <c r="Y130" s="28">
        <f>SUM(S130:V130)</f>
        <v>0</v>
      </c>
      <c r="Z130" s="28">
        <f t="shared" si="45"/>
        <v>0</v>
      </c>
    </row>
    <row r="131" spans="1:26" ht="12.75" hidden="1">
      <c r="A131" s="192" t="s">
        <v>428</v>
      </c>
      <c r="B131" s="193"/>
      <c r="C131" s="193"/>
      <c r="D131" s="193"/>
      <c r="E131" s="193"/>
      <c r="F131" s="194"/>
      <c r="G131" s="216" t="s">
        <v>37</v>
      </c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49">
        <f>SUM(S131:V131)</f>
        <v>0</v>
      </c>
      <c r="S131" s="85">
        <v>0</v>
      </c>
      <c r="T131" s="86">
        <v>0</v>
      </c>
      <c r="U131" s="86">
        <v>0</v>
      </c>
      <c r="V131" s="85">
        <v>0</v>
      </c>
      <c r="W131" s="105">
        <f>R131</f>
        <v>0</v>
      </c>
      <c r="X131" s="102">
        <f>W131</f>
        <v>0</v>
      </c>
      <c r="Y131" s="28">
        <f>SUM(S131:X131)</f>
        <v>0</v>
      </c>
      <c r="Z131" s="28">
        <f t="shared" si="45"/>
        <v>0</v>
      </c>
    </row>
    <row r="132" spans="1:26" ht="12.75">
      <c r="A132" s="192" t="s">
        <v>288</v>
      </c>
      <c r="B132" s="193"/>
      <c r="C132" s="193"/>
      <c r="D132" s="193"/>
      <c r="E132" s="193"/>
      <c r="F132" s="194"/>
      <c r="G132" s="216" t="s">
        <v>236</v>
      </c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48">
        <f aca="true" t="shared" si="49" ref="R132:X133">R133</f>
        <v>224099.3</v>
      </c>
      <c r="S132" s="54">
        <f t="shared" si="49"/>
        <v>5000</v>
      </c>
      <c r="T132" s="31">
        <f t="shared" si="49"/>
        <v>211482</v>
      </c>
      <c r="U132" s="31">
        <f t="shared" si="49"/>
        <v>6604</v>
      </c>
      <c r="V132" s="54">
        <f t="shared" si="49"/>
        <v>1013.3000000000002</v>
      </c>
      <c r="W132" s="48">
        <f t="shared" si="49"/>
        <v>277400</v>
      </c>
      <c r="X132" s="99">
        <f t="shared" si="49"/>
        <v>284100</v>
      </c>
      <c r="Y132" s="28">
        <f>SUM(S132:V132)</f>
        <v>224099.3</v>
      </c>
      <c r="Z132" s="28">
        <f aca="true" t="shared" si="50" ref="Z132:Z139">R132-S132-T132-U132-V132</f>
        <v>-1.1823431123048067E-11</v>
      </c>
    </row>
    <row r="133" spans="1:26" ht="24" customHeight="1">
      <c r="A133" s="192" t="s">
        <v>289</v>
      </c>
      <c r="B133" s="193"/>
      <c r="C133" s="193"/>
      <c r="D133" s="193"/>
      <c r="E133" s="193"/>
      <c r="F133" s="194"/>
      <c r="G133" s="216" t="s">
        <v>190</v>
      </c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48">
        <f t="shared" si="49"/>
        <v>224099.3</v>
      </c>
      <c r="S133" s="54">
        <f t="shared" si="49"/>
        <v>5000</v>
      </c>
      <c r="T133" s="31">
        <f t="shared" si="49"/>
        <v>211482</v>
      </c>
      <c r="U133" s="31">
        <f t="shared" si="49"/>
        <v>6604</v>
      </c>
      <c r="V133" s="54">
        <f t="shared" si="49"/>
        <v>1013.3000000000002</v>
      </c>
      <c r="W133" s="48">
        <f t="shared" si="49"/>
        <v>277400</v>
      </c>
      <c r="X133" s="99">
        <f t="shared" si="49"/>
        <v>284100</v>
      </c>
      <c r="Y133" s="28">
        <f>SUM(S133:V133)</f>
        <v>224099.3</v>
      </c>
      <c r="Z133" s="28">
        <f t="shared" si="50"/>
        <v>-1.1823431123048067E-11</v>
      </c>
    </row>
    <row r="134" spans="1:26" ht="24" customHeight="1">
      <c r="A134" s="192" t="s">
        <v>290</v>
      </c>
      <c r="B134" s="193"/>
      <c r="C134" s="193"/>
      <c r="D134" s="193"/>
      <c r="E134" s="193"/>
      <c r="F134" s="194"/>
      <c r="G134" s="216" t="s">
        <v>237</v>
      </c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48">
        <f>SUM(R135:R139)</f>
        <v>224099.3</v>
      </c>
      <c r="S134" s="54">
        <f aca="true" t="shared" si="51" ref="S134:X134">SUM(S135:S139)</f>
        <v>5000</v>
      </c>
      <c r="T134" s="31">
        <f t="shared" si="51"/>
        <v>211482</v>
      </c>
      <c r="U134" s="31">
        <f t="shared" si="51"/>
        <v>6604</v>
      </c>
      <c r="V134" s="54">
        <f t="shared" si="51"/>
        <v>1013.3000000000002</v>
      </c>
      <c r="W134" s="113">
        <f t="shared" si="51"/>
        <v>277400</v>
      </c>
      <c r="X134" s="112">
        <f t="shared" si="51"/>
        <v>284100</v>
      </c>
      <c r="Y134" s="28">
        <f>SUM(S134:V134)</f>
        <v>224099.3</v>
      </c>
      <c r="Z134" s="28">
        <f t="shared" si="50"/>
        <v>-1.1823431123048067E-11</v>
      </c>
    </row>
    <row r="135" spans="1:26" ht="12.75" customHeight="1" hidden="1">
      <c r="A135" s="192" t="s">
        <v>291</v>
      </c>
      <c r="B135" s="193"/>
      <c r="C135" s="193"/>
      <c r="D135" s="193"/>
      <c r="E135" s="193"/>
      <c r="F135" s="38"/>
      <c r="G135" s="216" t="s">
        <v>39</v>
      </c>
      <c r="H135" s="217"/>
      <c r="I135" s="217"/>
      <c r="J135" s="217"/>
      <c r="K135" s="217"/>
      <c r="L135" s="217"/>
      <c r="M135" s="217"/>
      <c r="N135" s="217"/>
      <c r="O135" s="217"/>
      <c r="P135" s="139"/>
      <c r="Q135" s="139"/>
      <c r="R135" s="49">
        <f>S135+T135+U135+V135</f>
        <v>0</v>
      </c>
      <c r="S135" s="85">
        <f>1250-1250</f>
        <v>0</v>
      </c>
      <c r="T135" s="86">
        <f>1250-1250</f>
        <v>0</v>
      </c>
      <c r="U135" s="86">
        <f>1250-1250</f>
        <v>0</v>
      </c>
      <c r="V135" s="85">
        <f>1250-1250</f>
        <v>0</v>
      </c>
      <c r="W135" s="105">
        <v>5000</v>
      </c>
      <c r="X135" s="102">
        <v>5000</v>
      </c>
      <c r="Y135" s="28"/>
      <c r="Z135" s="28">
        <f t="shared" si="50"/>
        <v>0</v>
      </c>
    </row>
    <row r="136" spans="1:26" ht="12.75" customHeight="1">
      <c r="A136" s="192" t="s">
        <v>292</v>
      </c>
      <c r="B136" s="193"/>
      <c r="C136" s="193"/>
      <c r="D136" s="193"/>
      <c r="E136" s="193"/>
      <c r="F136" s="38"/>
      <c r="G136" s="216" t="s">
        <v>41</v>
      </c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49">
        <f>S136+T136+U136+V136</f>
        <v>16013.3</v>
      </c>
      <c r="S136" s="85">
        <f>5000</f>
        <v>5000</v>
      </c>
      <c r="T136" s="86">
        <f>5000</f>
        <v>5000</v>
      </c>
      <c r="U136" s="86">
        <f>5000</f>
        <v>5000</v>
      </c>
      <c r="V136" s="85">
        <f>5000-3986.7</f>
        <v>1013.3000000000002</v>
      </c>
      <c r="W136" s="105">
        <v>20000</v>
      </c>
      <c r="X136" s="102">
        <v>20000</v>
      </c>
      <c r="Y136" s="28"/>
      <c r="Z136" s="28">
        <f t="shared" si="50"/>
        <v>-9.094947017729282E-13</v>
      </c>
    </row>
    <row r="137" spans="1:26" ht="12.75" customHeight="1">
      <c r="A137" s="192" t="s">
        <v>293</v>
      </c>
      <c r="B137" s="193"/>
      <c r="C137" s="193"/>
      <c r="D137" s="193"/>
      <c r="E137" s="193"/>
      <c r="F137" s="38"/>
      <c r="G137" s="216" t="s">
        <v>42</v>
      </c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49">
        <f>S137+T137+U137+V137</f>
        <v>8104</v>
      </c>
      <c r="S137" s="85">
        <f>34000-34000</f>
        <v>0</v>
      </c>
      <c r="T137" s="86">
        <f>40500-15990-18010</f>
        <v>6500</v>
      </c>
      <c r="U137" s="86">
        <f>34000-22982-9414</f>
        <v>1604</v>
      </c>
      <c r="V137" s="85">
        <f>34000-34000</f>
        <v>0</v>
      </c>
      <c r="W137" s="105">
        <v>152400</v>
      </c>
      <c r="X137" s="102">
        <v>159100</v>
      </c>
      <c r="Y137" s="28"/>
      <c r="Z137" s="28">
        <f t="shared" si="50"/>
        <v>0</v>
      </c>
    </row>
    <row r="138" spans="1:26" ht="12.75">
      <c r="A138" s="192" t="s">
        <v>294</v>
      </c>
      <c r="B138" s="193"/>
      <c r="C138" s="193"/>
      <c r="D138" s="193"/>
      <c r="E138" s="193"/>
      <c r="F138" s="38"/>
      <c r="G138" s="216" t="s">
        <v>43</v>
      </c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49">
        <f>S138+T138+U138+V138</f>
        <v>199982</v>
      </c>
      <c r="S138" s="85">
        <v>0</v>
      </c>
      <c r="T138" s="86">
        <f>99990+99992</f>
        <v>199982</v>
      </c>
      <c r="U138" s="86">
        <v>0</v>
      </c>
      <c r="V138" s="85">
        <v>0</v>
      </c>
      <c r="W138" s="105">
        <v>0</v>
      </c>
      <c r="X138" s="102">
        <v>0</v>
      </c>
      <c r="Y138" s="28"/>
      <c r="Z138" s="28">
        <f t="shared" si="50"/>
        <v>0</v>
      </c>
    </row>
    <row r="139" spans="1:26" ht="12.75">
      <c r="A139" s="192" t="s">
        <v>295</v>
      </c>
      <c r="B139" s="193"/>
      <c r="C139" s="193"/>
      <c r="D139" s="193"/>
      <c r="E139" s="194"/>
      <c r="F139" s="216" t="s">
        <v>70</v>
      </c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49">
        <f>S139+T139+U139+V139</f>
        <v>0</v>
      </c>
      <c r="S139" s="85">
        <f>25000-25000</f>
        <v>0</v>
      </c>
      <c r="T139" s="86">
        <f>25000-25000</f>
        <v>0</v>
      </c>
      <c r="U139" s="86">
        <f>25000-15000-10000</f>
        <v>0</v>
      </c>
      <c r="V139" s="85">
        <f>25000-25000</f>
        <v>0</v>
      </c>
      <c r="W139" s="105">
        <v>100000</v>
      </c>
      <c r="X139" s="102">
        <v>100000</v>
      </c>
      <c r="Y139" s="28"/>
      <c r="Z139" s="28">
        <f t="shared" si="50"/>
        <v>0</v>
      </c>
    </row>
    <row r="140" spans="1:26" ht="27.75" customHeight="1" hidden="1">
      <c r="A140" s="201" t="s">
        <v>429</v>
      </c>
      <c r="B140" s="202"/>
      <c r="C140" s="202"/>
      <c r="D140" s="202"/>
      <c r="E140" s="202"/>
      <c r="F140" s="72"/>
      <c r="G140" s="288" t="s">
        <v>432</v>
      </c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34">
        <f>R141</f>
        <v>0</v>
      </c>
      <c r="S140" s="53">
        <f aca="true" t="shared" si="52" ref="S140:X142">S141</f>
        <v>0</v>
      </c>
      <c r="T140" s="29">
        <f t="shared" si="52"/>
        <v>0</v>
      </c>
      <c r="U140" s="29">
        <f t="shared" si="52"/>
        <v>0</v>
      </c>
      <c r="V140" s="53">
        <f t="shared" si="52"/>
        <v>0</v>
      </c>
      <c r="W140" s="34">
        <f t="shared" si="52"/>
        <v>0</v>
      </c>
      <c r="X140" s="96">
        <f t="shared" si="52"/>
        <v>0</v>
      </c>
      <c r="Y140" s="28"/>
      <c r="Z140" s="28">
        <f aca="true" t="shared" si="53" ref="Z140:Z150">R140-S140-T140-U140-V140</f>
        <v>0</v>
      </c>
    </row>
    <row r="141" spans="1:26" ht="24.75" customHeight="1" hidden="1">
      <c r="A141" s="186" t="s">
        <v>476</v>
      </c>
      <c r="B141" s="181"/>
      <c r="C141" s="181"/>
      <c r="D141" s="181"/>
      <c r="E141" s="181"/>
      <c r="F141" s="211"/>
      <c r="G141" s="231" t="s">
        <v>475</v>
      </c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46">
        <f>R142</f>
        <v>0</v>
      </c>
      <c r="S141" s="75">
        <f t="shared" si="52"/>
        <v>0</v>
      </c>
      <c r="T141" s="44">
        <f t="shared" si="52"/>
        <v>0</v>
      </c>
      <c r="U141" s="44">
        <f t="shared" si="52"/>
        <v>0</v>
      </c>
      <c r="V141" s="75">
        <f t="shared" si="52"/>
        <v>0</v>
      </c>
      <c r="W141" s="46">
        <f t="shared" si="52"/>
        <v>0</v>
      </c>
      <c r="X141" s="97">
        <f t="shared" si="52"/>
        <v>0</v>
      </c>
      <c r="Y141" s="28"/>
      <c r="Z141" s="28">
        <f t="shared" si="53"/>
        <v>0</v>
      </c>
    </row>
    <row r="142" spans="1:26" ht="12.75" hidden="1">
      <c r="A142" s="198" t="s">
        <v>476</v>
      </c>
      <c r="B142" s="199"/>
      <c r="C142" s="199"/>
      <c r="D142" s="199"/>
      <c r="E142" s="199"/>
      <c r="F142" s="73"/>
      <c r="G142" s="290" t="s">
        <v>433</v>
      </c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47">
        <f>R143</f>
        <v>0</v>
      </c>
      <c r="S142" s="77">
        <f t="shared" si="52"/>
        <v>0</v>
      </c>
      <c r="T142" s="30">
        <f t="shared" si="52"/>
        <v>0</v>
      </c>
      <c r="U142" s="30">
        <f t="shared" si="52"/>
        <v>0</v>
      </c>
      <c r="V142" s="77">
        <f t="shared" si="52"/>
        <v>0</v>
      </c>
      <c r="W142" s="47">
        <f t="shared" si="52"/>
        <v>0</v>
      </c>
      <c r="X142" s="98">
        <f t="shared" si="52"/>
        <v>0</v>
      </c>
      <c r="Y142" s="28"/>
      <c r="Z142" s="28">
        <f t="shared" si="53"/>
        <v>0</v>
      </c>
    </row>
    <row r="143" spans="1:26" ht="12.75" hidden="1">
      <c r="A143" s="192" t="s">
        <v>477</v>
      </c>
      <c r="B143" s="193"/>
      <c r="C143" s="193"/>
      <c r="D143" s="193"/>
      <c r="E143" s="193"/>
      <c r="F143" s="194"/>
      <c r="G143" s="216" t="s">
        <v>236</v>
      </c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48">
        <f>R144</f>
        <v>0</v>
      </c>
      <c r="S143" s="54">
        <f aca="true" t="shared" si="54" ref="S143:X144">S144</f>
        <v>0</v>
      </c>
      <c r="T143" s="31">
        <f t="shared" si="54"/>
        <v>0</v>
      </c>
      <c r="U143" s="31">
        <f t="shared" si="54"/>
        <v>0</v>
      </c>
      <c r="V143" s="54">
        <f t="shared" si="54"/>
        <v>0</v>
      </c>
      <c r="W143" s="48">
        <f t="shared" si="54"/>
        <v>0</v>
      </c>
      <c r="X143" s="99">
        <f t="shared" si="54"/>
        <v>0</v>
      </c>
      <c r="Y143" s="28">
        <f>SUM(S143:V143)</f>
        <v>0</v>
      </c>
      <c r="Z143" s="28">
        <f t="shared" si="53"/>
        <v>0</v>
      </c>
    </row>
    <row r="144" spans="1:26" ht="24" customHeight="1" hidden="1">
      <c r="A144" s="192" t="s">
        <v>478</v>
      </c>
      <c r="B144" s="193"/>
      <c r="C144" s="193"/>
      <c r="D144" s="193"/>
      <c r="E144" s="193"/>
      <c r="F144" s="194"/>
      <c r="G144" s="216" t="s">
        <v>190</v>
      </c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48">
        <f>R145</f>
        <v>0</v>
      </c>
      <c r="S144" s="54">
        <f t="shared" si="54"/>
        <v>0</v>
      </c>
      <c r="T144" s="31">
        <f t="shared" si="54"/>
        <v>0</v>
      </c>
      <c r="U144" s="31">
        <f t="shared" si="54"/>
        <v>0</v>
      </c>
      <c r="V144" s="54">
        <f t="shared" si="54"/>
        <v>0</v>
      </c>
      <c r="W144" s="48">
        <f t="shared" si="54"/>
        <v>0</v>
      </c>
      <c r="X144" s="99">
        <f t="shared" si="54"/>
        <v>0</v>
      </c>
      <c r="Y144" s="28">
        <f>SUM(S144:V144)</f>
        <v>0</v>
      </c>
      <c r="Z144" s="28">
        <f t="shared" si="53"/>
        <v>0</v>
      </c>
    </row>
    <row r="145" spans="1:26" ht="24" customHeight="1" hidden="1">
      <c r="A145" s="192" t="s">
        <v>479</v>
      </c>
      <c r="B145" s="193"/>
      <c r="C145" s="193"/>
      <c r="D145" s="193"/>
      <c r="E145" s="193"/>
      <c r="F145" s="194"/>
      <c r="G145" s="216" t="s">
        <v>237</v>
      </c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48">
        <f>SUM(R146:R150)</f>
        <v>0</v>
      </c>
      <c r="S145" s="54">
        <f aca="true" t="shared" si="55" ref="S145:X145">SUM(S146:S150)</f>
        <v>0</v>
      </c>
      <c r="T145" s="31">
        <f t="shared" si="55"/>
        <v>0</v>
      </c>
      <c r="U145" s="31">
        <f t="shared" si="55"/>
        <v>0</v>
      </c>
      <c r="V145" s="54">
        <f t="shared" si="55"/>
        <v>0</v>
      </c>
      <c r="W145" s="113">
        <f t="shared" si="55"/>
        <v>0</v>
      </c>
      <c r="X145" s="112">
        <f t="shared" si="55"/>
        <v>0</v>
      </c>
      <c r="Y145" s="28">
        <f>SUM(S145:V145)</f>
        <v>0</v>
      </c>
      <c r="Z145" s="28">
        <f t="shared" si="53"/>
        <v>0</v>
      </c>
    </row>
    <row r="146" spans="1:26" ht="12.75" customHeight="1" hidden="1">
      <c r="A146" s="192" t="s">
        <v>430</v>
      </c>
      <c r="B146" s="193"/>
      <c r="C146" s="193"/>
      <c r="D146" s="193"/>
      <c r="E146" s="193"/>
      <c r="F146" s="38"/>
      <c r="G146" s="216" t="s">
        <v>39</v>
      </c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49">
        <f>S146+T146+U146+V146</f>
        <v>0</v>
      </c>
      <c r="S146" s="85">
        <v>0</v>
      </c>
      <c r="T146" s="86">
        <v>0</v>
      </c>
      <c r="U146" s="86">
        <v>0</v>
      </c>
      <c r="V146" s="85">
        <v>0</v>
      </c>
      <c r="W146" s="105">
        <v>0</v>
      </c>
      <c r="X146" s="102">
        <v>0</v>
      </c>
      <c r="Y146" s="28"/>
      <c r="Z146" s="28">
        <f t="shared" si="53"/>
        <v>0</v>
      </c>
    </row>
    <row r="147" spans="1:26" ht="12.75" customHeight="1" hidden="1">
      <c r="A147" s="192" t="s">
        <v>473</v>
      </c>
      <c r="B147" s="193"/>
      <c r="C147" s="193"/>
      <c r="D147" s="193"/>
      <c r="E147" s="193"/>
      <c r="F147" s="38"/>
      <c r="G147" s="216" t="s">
        <v>41</v>
      </c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49">
        <f>S147+T147+U147+V147</f>
        <v>0</v>
      </c>
      <c r="S147" s="85">
        <v>0</v>
      </c>
      <c r="T147" s="86">
        <f>1000-1000</f>
        <v>0</v>
      </c>
      <c r="U147" s="86">
        <v>0</v>
      </c>
      <c r="V147" s="85">
        <v>0</v>
      </c>
      <c r="W147" s="105">
        <v>0</v>
      </c>
      <c r="X147" s="102">
        <v>0</v>
      </c>
      <c r="Y147" s="28"/>
      <c r="Z147" s="28">
        <f t="shared" si="53"/>
        <v>0</v>
      </c>
    </row>
    <row r="148" spans="1:26" ht="12.75" hidden="1">
      <c r="A148" s="192" t="s">
        <v>431</v>
      </c>
      <c r="B148" s="193"/>
      <c r="C148" s="193"/>
      <c r="D148" s="193"/>
      <c r="E148" s="193"/>
      <c r="F148" s="38"/>
      <c r="G148" s="216" t="s">
        <v>42</v>
      </c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49">
        <f>S148+T148+U148+V148</f>
        <v>0</v>
      </c>
      <c r="S148" s="85">
        <v>0</v>
      </c>
      <c r="T148" s="86">
        <v>0</v>
      </c>
      <c r="U148" s="86">
        <v>0</v>
      </c>
      <c r="V148" s="85">
        <v>0</v>
      </c>
      <c r="W148" s="105">
        <v>0</v>
      </c>
      <c r="X148" s="102">
        <v>0</v>
      </c>
      <c r="Y148" s="28"/>
      <c r="Z148" s="28">
        <f t="shared" si="53"/>
        <v>0</v>
      </c>
    </row>
    <row r="149" spans="1:26" ht="12.75" hidden="1">
      <c r="A149" s="192" t="s">
        <v>294</v>
      </c>
      <c r="B149" s="193"/>
      <c r="C149" s="193"/>
      <c r="D149" s="193"/>
      <c r="E149" s="193"/>
      <c r="F149" s="38"/>
      <c r="G149" s="216" t="s">
        <v>43</v>
      </c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49">
        <f>S149+T149+U149+V149</f>
        <v>0</v>
      </c>
      <c r="S149" s="85">
        <v>0</v>
      </c>
      <c r="T149" s="86">
        <v>0</v>
      </c>
      <c r="U149" s="86">
        <v>0</v>
      </c>
      <c r="V149" s="85">
        <v>0</v>
      </c>
      <c r="W149" s="105">
        <v>0</v>
      </c>
      <c r="X149" s="102">
        <v>0</v>
      </c>
      <c r="Y149" s="28"/>
      <c r="Z149" s="28">
        <f t="shared" si="53"/>
        <v>0</v>
      </c>
    </row>
    <row r="150" spans="1:26" ht="12.75" hidden="1">
      <c r="A150" s="192" t="s">
        <v>474</v>
      </c>
      <c r="B150" s="193"/>
      <c r="C150" s="193"/>
      <c r="D150" s="193"/>
      <c r="E150" s="194"/>
      <c r="F150" s="216" t="s">
        <v>70</v>
      </c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49">
        <f>S150+T150+U150+V150</f>
        <v>0</v>
      </c>
      <c r="S150" s="85">
        <v>0</v>
      </c>
      <c r="T150" s="86">
        <f>3000-3000</f>
        <v>0</v>
      </c>
      <c r="U150" s="86">
        <v>0</v>
      </c>
      <c r="V150" s="85">
        <v>0</v>
      </c>
      <c r="W150" s="105">
        <v>0</v>
      </c>
      <c r="X150" s="102">
        <v>0</v>
      </c>
      <c r="Y150" s="28"/>
      <c r="Z150" s="28">
        <f t="shared" si="53"/>
        <v>0</v>
      </c>
    </row>
    <row r="151" spans="1:26" s="58" customFormat="1" ht="12.75">
      <c r="A151" s="294" t="s">
        <v>119</v>
      </c>
      <c r="B151" s="295"/>
      <c r="C151" s="295"/>
      <c r="D151" s="295"/>
      <c r="E151" s="295"/>
      <c r="F151" s="296"/>
      <c r="G151" s="292" t="s">
        <v>168</v>
      </c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66">
        <f aca="true" t="shared" si="56" ref="R151:X151">R152</f>
        <v>460692.37</v>
      </c>
      <c r="S151" s="55">
        <f t="shared" si="56"/>
        <v>6005.47</v>
      </c>
      <c r="T151" s="56">
        <f t="shared" si="56"/>
        <v>19366.86</v>
      </c>
      <c r="U151" s="56">
        <f t="shared" si="56"/>
        <v>165081.68</v>
      </c>
      <c r="V151" s="55">
        <f t="shared" si="56"/>
        <v>270238.36</v>
      </c>
      <c r="W151" s="119">
        <f t="shared" si="56"/>
        <v>0</v>
      </c>
      <c r="X151" s="118">
        <f t="shared" si="56"/>
        <v>0</v>
      </c>
      <c r="Y151" s="57">
        <f>SUM(S151:V151)</f>
        <v>460692.37</v>
      </c>
      <c r="Z151" s="28">
        <f aca="true" t="shared" si="57" ref="Z151:Z170">R151-S151-T151-U151-V151</f>
        <v>0</v>
      </c>
    </row>
    <row r="152" spans="1:26" s="63" customFormat="1" ht="12.75" hidden="1">
      <c r="A152" s="299" t="s">
        <v>158</v>
      </c>
      <c r="B152" s="300"/>
      <c r="C152" s="300"/>
      <c r="D152" s="300"/>
      <c r="E152" s="300"/>
      <c r="F152" s="59"/>
      <c r="G152" s="297" t="s">
        <v>90</v>
      </c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67">
        <f>R153+R159+R162</f>
        <v>460692.37</v>
      </c>
      <c r="S152" s="60">
        <f aca="true" t="shared" si="58" ref="S152:X152">S153+S159+S162</f>
        <v>6005.47</v>
      </c>
      <c r="T152" s="61">
        <f t="shared" si="58"/>
        <v>19366.86</v>
      </c>
      <c r="U152" s="61">
        <f>U153+U159+U162</f>
        <v>165081.68</v>
      </c>
      <c r="V152" s="60">
        <f>V153+V159+V162</f>
        <v>270238.36</v>
      </c>
      <c r="W152" s="121">
        <f t="shared" si="58"/>
        <v>0</v>
      </c>
      <c r="X152" s="120">
        <f t="shared" si="58"/>
        <v>0</v>
      </c>
      <c r="Y152" s="62"/>
      <c r="Z152" s="28">
        <f t="shared" si="57"/>
        <v>0</v>
      </c>
    </row>
    <row r="153" spans="1:26" s="63" customFormat="1" ht="22.5" customHeight="1" hidden="1">
      <c r="A153" s="299" t="s">
        <v>159</v>
      </c>
      <c r="B153" s="300"/>
      <c r="C153" s="300"/>
      <c r="D153" s="300"/>
      <c r="E153" s="300"/>
      <c r="F153" s="59"/>
      <c r="G153" s="297" t="s">
        <v>91</v>
      </c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67">
        <f aca="true" t="shared" si="59" ref="R153:X154">R154</f>
        <v>0</v>
      </c>
      <c r="S153" s="60">
        <f t="shared" si="59"/>
        <v>0</v>
      </c>
      <c r="T153" s="61">
        <f t="shared" si="59"/>
        <v>0</v>
      </c>
      <c r="U153" s="61">
        <f t="shared" si="59"/>
        <v>0</v>
      </c>
      <c r="V153" s="60">
        <f t="shared" si="59"/>
        <v>0</v>
      </c>
      <c r="W153" s="121">
        <f t="shared" si="59"/>
        <v>0</v>
      </c>
      <c r="X153" s="120">
        <f t="shared" si="59"/>
        <v>0</v>
      </c>
      <c r="Y153" s="62"/>
      <c r="Z153" s="28">
        <f t="shared" si="57"/>
        <v>0</v>
      </c>
    </row>
    <row r="154" spans="1:26" ht="48.75" customHeight="1" hidden="1">
      <c r="A154" s="192" t="s">
        <v>296</v>
      </c>
      <c r="B154" s="193"/>
      <c r="C154" s="193"/>
      <c r="D154" s="193"/>
      <c r="E154" s="193"/>
      <c r="F154" s="194"/>
      <c r="G154" s="216" t="s">
        <v>207</v>
      </c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48">
        <f>R155</f>
        <v>0</v>
      </c>
      <c r="S154" s="54">
        <f t="shared" si="59"/>
        <v>0</v>
      </c>
      <c r="T154" s="31">
        <f t="shared" si="59"/>
        <v>0</v>
      </c>
      <c r="U154" s="31">
        <f t="shared" si="59"/>
        <v>0</v>
      </c>
      <c r="V154" s="54">
        <f t="shared" si="59"/>
        <v>0</v>
      </c>
      <c r="W154" s="113">
        <f t="shared" si="59"/>
        <v>0</v>
      </c>
      <c r="X154" s="112">
        <f t="shared" si="59"/>
        <v>0</v>
      </c>
      <c r="Y154" s="28">
        <f>SUM(S154:V154)</f>
        <v>0</v>
      </c>
      <c r="Z154" s="28">
        <f t="shared" si="57"/>
        <v>0</v>
      </c>
    </row>
    <row r="155" spans="1:26" ht="24" customHeight="1" hidden="1">
      <c r="A155" s="192" t="s">
        <v>297</v>
      </c>
      <c r="B155" s="193"/>
      <c r="C155" s="193"/>
      <c r="D155" s="193"/>
      <c r="E155" s="193"/>
      <c r="F155" s="194"/>
      <c r="G155" s="216" t="s">
        <v>209</v>
      </c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48">
        <f aca="true" t="shared" si="60" ref="R155:X155">R156+R159</f>
        <v>0</v>
      </c>
      <c r="S155" s="54">
        <f t="shared" si="60"/>
        <v>0</v>
      </c>
      <c r="T155" s="31">
        <f t="shared" si="60"/>
        <v>0</v>
      </c>
      <c r="U155" s="31">
        <f t="shared" si="60"/>
        <v>0</v>
      </c>
      <c r="V155" s="54">
        <f t="shared" si="60"/>
        <v>0</v>
      </c>
      <c r="W155" s="113">
        <f t="shared" si="60"/>
        <v>0</v>
      </c>
      <c r="X155" s="112">
        <f t="shared" si="60"/>
        <v>0</v>
      </c>
      <c r="Y155" s="28">
        <f>SUM(S155:V155)</f>
        <v>0</v>
      </c>
      <c r="Z155" s="28">
        <f t="shared" si="57"/>
        <v>0</v>
      </c>
    </row>
    <row r="156" spans="1:26" ht="12.75" hidden="1">
      <c r="A156" s="192" t="s">
        <v>298</v>
      </c>
      <c r="B156" s="193"/>
      <c r="C156" s="193"/>
      <c r="D156" s="193"/>
      <c r="E156" s="193"/>
      <c r="F156" s="194"/>
      <c r="G156" s="216" t="s">
        <v>212</v>
      </c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48">
        <f aca="true" t="shared" si="61" ref="R156:X156">R157+R158</f>
        <v>0</v>
      </c>
      <c r="S156" s="54">
        <f t="shared" si="61"/>
        <v>0</v>
      </c>
      <c r="T156" s="31">
        <f t="shared" si="61"/>
        <v>0</v>
      </c>
      <c r="U156" s="31">
        <f t="shared" si="61"/>
        <v>0</v>
      </c>
      <c r="V156" s="54">
        <f t="shared" si="61"/>
        <v>0</v>
      </c>
      <c r="W156" s="113">
        <f t="shared" si="61"/>
        <v>0</v>
      </c>
      <c r="X156" s="112">
        <f t="shared" si="61"/>
        <v>0</v>
      </c>
      <c r="Y156" s="28">
        <f>SUM(S156:V156)</f>
        <v>0</v>
      </c>
      <c r="Z156" s="28">
        <f t="shared" si="57"/>
        <v>0</v>
      </c>
    </row>
    <row r="157" spans="1:26" ht="12.75" hidden="1">
      <c r="A157" s="301" t="s">
        <v>299</v>
      </c>
      <c r="B157" s="302"/>
      <c r="C157" s="302"/>
      <c r="D157" s="302"/>
      <c r="E157" s="302"/>
      <c r="F157" s="303"/>
      <c r="G157" s="216" t="s">
        <v>33</v>
      </c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49">
        <f>SUM(S157:V157)</f>
        <v>0</v>
      </c>
      <c r="S157" s="85">
        <v>0</v>
      </c>
      <c r="T157" s="86">
        <v>0</v>
      </c>
      <c r="U157" s="86">
        <v>0</v>
      </c>
      <c r="V157" s="85">
        <v>0</v>
      </c>
      <c r="W157" s="105">
        <v>0</v>
      </c>
      <c r="X157" s="102">
        <v>0</v>
      </c>
      <c r="Y157" s="28">
        <f>SUM(S157:X157)</f>
        <v>0</v>
      </c>
      <c r="Z157" s="28">
        <f t="shared" si="57"/>
        <v>0</v>
      </c>
    </row>
    <row r="158" spans="1:26" ht="12.75" hidden="1">
      <c r="A158" s="301" t="s">
        <v>300</v>
      </c>
      <c r="B158" s="302"/>
      <c r="C158" s="302"/>
      <c r="D158" s="302"/>
      <c r="E158" s="302"/>
      <c r="F158" s="303"/>
      <c r="G158" s="216" t="s">
        <v>34</v>
      </c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49">
        <f>SUM(S158:V158)</f>
        <v>0</v>
      </c>
      <c r="S158" s="85">
        <v>0</v>
      </c>
      <c r="T158" s="86">
        <v>0</v>
      </c>
      <c r="U158" s="86">
        <v>0</v>
      </c>
      <c r="V158" s="85">
        <v>0</v>
      </c>
      <c r="W158" s="105">
        <v>0</v>
      </c>
      <c r="X158" s="102">
        <v>0</v>
      </c>
      <c r="Y158" s="28">
        <f>SUM(S158:X158)</f>
        <v>0</v>
      </c>
      <c r="Z158" s="28">
        <f t="shared" si="57"/>
        <v>0</v>
      </c>
    </row>
    <row r="159" spans="1:26" s="63" customFormat="1" ht="23.25" customHeight="1" hidden="1">
      <c r="A159" s="299" t="s">
        <v>160</v>
      </c>
      <c r="B159" s="300"/>
      <c r="C159" s="300"/>
      <c r="D159" s="300"/>
      <c r="E159" s="300"/>
      <c r="F159" s="59"/>
      <c r="G159" s="297" t="s">
        <v>91</v>
      </c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67">
        <f aca="true" t="shared" si="62" ref="R159:X159">R160</f>
        <v>0</v>
      </c>
      <c r="S159" s="89">
        <f t="shared" si="62"/>
        <v>0</v>
      </c>
      <c r="T159" s="90">
        <f t="shared" si="62"/>
        <v>0</v>
      </c>
      <c r="U159" s="90">
        <f t="shared" si="62"/>
        <v>0</v>
      </c>
      <c r="V159" s="89">
        <f t="shared" si="62"/>
        <v>0</v>
      </c>
      <c r="W159" s="121">
        <f t="shared" si="62"/>
        <v>0</v>
      </c>
      <c r="X159" s="120">
        <f t="shared" si="62"/>
        <v>0</v>
      </c>
      <c r="Y159" s="62"/>
      <c r="Z159" s="28">
        <f t="shared" si="57"/>
        <v>0</v>
      </c>
    </row>
    <row r="160" spans="1:26" s="65" customFormat="1" ht="16.5" customHeight="1" hidden="1">
      <c r="A160" s="301" t="s">
        <v>301</v>
      </c>
      <c r="B160" s="302"/>
      <c r="C160" s="302"/>
      <c r="D160" s="302"/>
      <c r="E160" s="302"/>
      <c r="F160" s="303"/>
      <c r="G160" s="304"/>
      <c r="H160" s="305"/>
      <c r="I160" s="305"/>
      <c r="J160" s="305"/>
      <c r="K160" s="305"/>
      <c r="L160" s="305"/>
      <c r="M160" s="305"/>
      <c r="N160" s="305"/>
      <c r="O160" s="305"/>
      <c r="P160" s="305"/>
      <c r="Q160" s="305"/>
      <c r="R160" s="68">
        <f>SUM(S160:V160)</f>
        <v>0</v>
      </c>
      <c r="S160" s="91">
        <v>0</v>
      </c>
      <c r="T160" s="92">
        <v>0</v>
      </c>
      <c r="U160" s="92">
        <v>0</v>
      </c>
      <c r="V160" s="91">
        <v>0</v>
      </c>
      <c r="W160" s="122">
        <v>0</v>
      </c>
      <c r="X160" s="103">
        <v>0</v>
      </c>
      <c r="Y160" s="64">
        <f>SUM(S160:V160)</f>
        <v>0</v>
      </c>
      <c r="Z160" s="28">
        <f t="shared" si="57"/>
        <v>0</v>
      </c>
    </row>
    <row r="161" spans="1:26" s="63" customFormat="1" ht="12.75">
      <c r="A161" s="308" t="s">
        <v>412</v>
      </c>
      <c r="B161" s="309"/>
      <c r="C161" s="309"/>
      <c r="D161" s="309"/>
      <c r="E161" s="309"/>
      <c r="F161" s="137"/>
      <c r="G161" s="306" t="s">
        <v>413</v>
      </c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138">
        <f>R162</f>
        <v>460692.37</v>
      </c>
      <c r="S161" s="144">
        <f aca="true" t="shared" si="63" ref="S161:X161">S162</f>
        <v>6005.47</v>
      </c>
      <c r="T161" s="142">
        <f t="shared" si="63"/>
        <v>19366.86</v>
      </c>
      <c r="U161" s="142">
        <f t="shared" si="63"/>
        <v>165081.68</v>
      </c>
      <c r="V161" s="144">
        <f t="shared" si="63"/>
        <v>270238.36</v>
      </c>
      <c r="W161" s="138">
        <f t="shared" si="63"/>
        <v>0</v>
      </c>
      <c r="X161" s="141">
        <f t="shared" si="63"/>
        <v>0</v>
      </c>
      <c r="Y161" s="62"/>
      <c r="Z161" s="28">
        <f t="shared" si="57"/>
        <v>0</v>
      </c>
    </row>
    <row r="162" spans="1:26" s="63" customFormat="1" ht="23.25" customHeight="1">
      <c r="A162" s="299" t="s">
        <v>120</v>
      </c>
      <c r="B162" s="300"/>
      <c r="C162" s="300"/>
      <c r="D162" s="300"/>
      <c r="E162" s="300"/>
      <c r="F162" s="59"/>
      <c r="G162" s="297" t="s">
        <v>167</v>
      </c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67">
        <f>R168+R173</f>
        <v>460692.37</v>
      </c>
      <c r="S162" s="60">
        <f>S168+S173</f>
        <v>6005.47</v>
      </c>
      <c r="T162" s="61">
        <f>T168+T173</f>
        <v>19366.86</v>
      </c>
      <c r="U162" s="61">
        <f>U168+U173</f>
        <v>165081.68</v>
      </c>
      <c r="V162" s="60">
        <f>V168+V173</f>
        <v>270238.36</v>
      </c>
      <c r="W162" s="121">
        <f>W163+W168</f>
        <v>0</v>
      </c>
      <c r="X162" s="120">
        <f>X163+X168</f>
        <v>0</v>
      </c>
      <c r="Y162" s="62"/>
      <c r="Z162" s="28">
        <f t="shared" si="57"/>
        <v>0</v>
      </c>
    </row>
    <row r="163" spans="1:26" ht="48.75" customHeight="1" hidden="1">
      <c r="A163" s="192" t="s">
        <v>302</v>
      </c>
      <c r="B163" s="193"/>
      <c r="C163" s="193"/>
      <c r="D163" s="193"/>
      <c r="E163" s="193"/>
      <c r="F163" s="194"/>
      <c r="G163" s="216" t="s">
        <v>207</v>
      </c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48">
        <f>R164</f>
        <v>0</v>
      </c>
      <c r="S163" s="54">
        <f aca="true" t="shared" si="64" ref="S163:X164">S164</f>
        <v>0</v>
      </c>
      <c r="T163" s="31">
        <f t="shared" si="64"/>
        <v>0</v>
      </c>
      <c r="U163" s="31">
        <f t="shared" si="64"/>
        <v>0</v>
      </c>
      <c r="V163" s="54">
        <f t="shared" si="64"/>
        <v>0</v>
      </c>
      <c r="W163" s="113">
        <f t="shared" si="64"/>
        <v>0</v>
      </c>
      <c r="X163" s="112">
        <f t="shared" si="64"/>
        <v>0</v>
      </c>
      <c r="Y163" s="28">
        <f>SUM(S163:V163)</f>
        <v>0</v>
      </c>
      <c r="Z163" s="28">
        <f t="shared" si="57"/>
        <v>0</v>
      </c>
    </row>
    <row r="164" spans="1:26" ht="24" customHeight="1" hidden="1">
      <c r="A164" s="192" t="s">
        <v>303</v>
      </c>
      <c r="B164" s="193"/>
      <c r="C164" s="193"/>
      <c r="D164" s="193"/>
      <c r="E164" s="193"/>
      <c r="F164" s="194"/>
      <c r="G164" s="216" t="s">
        <v>209</v>
      </c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48">
        <f>R165</f>
        <v>0</v>
      </c>
      <c r="S164" s="54">
        <f t="shared" si="64"/>
        <v>0</v>
      </c>
      <c r="T164" s="31">
        <f t="shared" si="64"/>
        <v>0</v>
      </c>
      <c r="U164" s="31">
        <f t="shared" si="64"/>
        <v>0</v>
      </c>
      <c r="V164" s="54">
        <f t="shared" si="64"/>
        <v>0</v>
      </c>
      <c r="W164" s="113">
        <f t="shared" si="64"/>
        <v>0</v>
      </c>
      <c r="X164" s="112">
        <f t="shared" si="64"/>
        <v>0</v>
      </c>
      <c r="Y164" s="28">
        <f>SUM(S164:V164)</f>
        <v>0</v>
      </c>
      <c r="Z164" s="28">
        <f t="shared" si="57"/>
        <v>0</v>
      </c>
    </row>
    <row r="165" spans="1:26" ht="12.75" hidden="1">
      <c r="A165" s="192" t="s">
        <v>304</v>
      </c>
      <c r="B165" s="193"/>
      <c r="C165" s="193"/>
      <c r="D165" s="193"/>
      <c r="E165" s="193"/>
      <c r="F165" s="194"/>
      <c r="G165" s="216" t="s">
        <v>212</v>
      </c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48">
        <f>R166+R167</f>
        <v>0</v>
      </c>
      <c r="S165" s="54">
        <f aca="true" t="shared" si="65" ref="S165:X165">S166+S167</f>
        <v>0</v>
      </c>
      <c r="T165" s="31">
        <f t="shared" si="65"/>
        <v>0</v>
      </c>
      <c r="U165" s="31">
        <f t="shared" si="65"/>
        <v>0</v>
      </c>
      <c r="V165" s="54">
        <f t="shared" si="65"/>
        <v>0</v>
      </c>
      <c r="W165" s="113">
        <f t="shared" si="65"/>
        <v>0</v>
      </c>
      <c r="X165" s="112">
        <f t="shared" si="65"/>
        <v>0</v>
      </c>
      <c r="Y165" s="28">
        <f>SUM(S165:V165)</f>
        <v>0</v>
      </c>
      <c r="Z165" s="28">
        <f t="shared" si="57"/>
        <v>0</v>
      </c>
    </row>
    <row r="166" spans="1:26" ht="12.75" hidden="1">
      <c r="A166" s="301" t="s">
        <v>165</v>
      </c>
      <c r="B166" s="302"/>
      <c r="C166" s="302"/>
      <c r="D166" s="302"/>
      <c r="E166" s="302"/>
      <c r="F166" s="303"/>
      <c r="G166" s="216" t="s">
        <v>33</v>
      </c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49">
        <f>SUM(S166:V166)</f>
        <v>0</v>
      </c>
      <c r="S166" s="85">
        <v>0</v>
      </c>
      <c r="T166" s="86">
        <v>0</v>
      </c>
      <c r="U166" s="86">
        <v>0</v>
      </c>
      <c r="V166" s="85">
        <v>0</v>
      </c>
      <c r="W166" s="105">
        <v>0</v>
      </c>
      <c r="X166" s="102">
        <v>0</v>
      </c>
      <c r="Y166" s="28">
        <f>SUM(S166:X166)</f>
        <v>0</v>
      </c>
      <c r="Z166" s="28">
        <f t="shared" si="57"/>
        <v>0</v>
      </c>
    </row>
    <row r="167" spans="1:26" ht="12.75" hidden="1">
      <c r="A167" s="301" t="s">
        <v>166</v>
      </c>
      <c r="B167" s="302"/>
      <c r="C167" s="302"/>
      <c r="D167" s="302"/>
      <c r="E167" s="302"/>
      <c r="F167" s="303"/>
      <c r="G167" s="216" t="s">
        <v>34</v>
      </c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49">
        <f>SUM(S167:V167)</f>
        <v>0</v>
      </c>
      <c r="S167" s="85">
        <v>0</v>
      </c>
      <c r="T167" s="86">
        <v>0</v>
      </c>
      <c r="U167" s="86">
        <v>0</v>
      </c>
      <c r="V167" s="85">
        <v>0</v>
      </c>
      <c r="W167" s="105">
        <v>0</v>
      </c>
      <c r="X167" s="102">
        <v>0</v>
      </c>
      <c r="Y167" s="28">
        <f>SUM(S167:X167)</f>
        <v>0</v>
      </c>
      <c r="Z167" s="28">
        <f t="shared" si="57"/>
        <v>0</v>
      </c>
    </row>
    <row r="168" spans="1:26" ht="36" customHeight="1">
      <c r="A168" s="192" t="s">
        <v>302</v>
      </c>
      <c r="B168" s="193"/>
      <c r="C168" s="193"/>
      <c r="D168" s="193"/>
      <c r="E168" s="193"/>
      <c r="F168" s="194"/>
      <c r="G168" s="216" t="s">
        <v>207</v>
      </c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48">
        <f>R169</f>
        <v>322236.4</v>
      </c>
      <c r="S168" s="54">
        <f aca="true" t="shared" si="66" ref="S168:X169">S169</f>
        <v>6005.47</v>
      </c>
      <c r="T168" s="31">
        <f t="shared" si="66"/>
        <v>19366.86</v>
      </c>
      <c r="U168" s="31">
        <f t="shared" si="66"/>
        <v>141822.38</v>
      </c>
      <c r="V168" s="54">
        <f t="shared" si="66"/>
        <v>155041.69</v>
      </c>
      <c r="W168" s="113">
        <f t="shared" si="66"/>
        <v>0</v>
      </c>
      <c r="X168" s="112">
        <f t="shared" si="66"/>
        <v>0</v>
      </c>
      <c r="Y168" s="28">
        <f>SUM(S168:V168)</f>
        <v>322236.4</v>
      </c>
      <c r="Z168" s="28">
        <f t="shared" si="57"/>
        <v>0</v>
      </c>
    </row>
    <row r="169" spans="1:26" ht="24" customHeight="1">
      <c r="A169" s="192" t="s">
        <v>303</v>
      </c>
      <c r="B169" s="193"/>
      <c r="C169" s="193"/>
      <c r="D169" s="193"/>
      <c r="E169" s="193"/>
      <c r="F169" s="194"/>
      <c r="G169" s="216" t="s">
        <v>209</v>
      </c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48">
        <f>R170</f>
        <v>322236.4</v>
      </c>
      <c r="S169" s="54">
        <f t="shared" si="66"/>
        <v>6005.47</v>
      </c>
      <c r="T169" s="31">
        <f t="shared" si="66"/>
        <v>19366.86</v>
      </c>
      <c r="U169" s="31">
        <f t="shared" si="66"/>
        <v>141822.38</v>
      </c>
      <c r="V169" s="54">
        <f t="shared" si="66"/>
        <v>155041.69</v>
      </c>
      <c r="W169" s="113">
        <f t="shared" si="66"/>
        <v>0</v>
      </c>
      <c r="X169" s="112">
        <f t="shared" si="66"/>
        <v>0</v>
      </c>
      <c r="Y169" s="28">
        <f>SUM(S169:V169)</f>
        <v>322236.4</v>
      </c>
      <c r="Z169" s="28">
        <f t="shared" si="57"/>
        <v>0</v>
      </c>
    </row>
    <row r="170" spans="1:26" ht="24" customHeight="1">
      <c r="A170" s="192" t="s">
        <v>304</v>
      </c>
      <c r="B170" s="193"/>
      <c r="C170" s="193"/>
      <c r="D170" s="193"/>
      <c r="E170" s="193"/>
      <c r="F170" s="194"/>
      <c r="G170" s="216" t="s">
        <v>212</v>
      </c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48">
        <f>R171+R172</f>
        <v>322236.4</v>
      </c>
      <c r="S170" s="54">
        <f>SUM(S171:S172)</f>
        <v>6005.47</v>
      </c>
      <c r="T170" s="31">
        <f>SUM(T171:T172)</f>
        <v>19366.86</v>
      </c>
      <c r="U170" s="31">
        <f>SUM(U171:U172)</f>
        <v>141822.38</v>
      </c>
      <c r="V170" s="54">
        <f>SUM(V171:V172)</f>
        <v>155041.69</v>
      </c>
      <c r="W170" s="113">
        <f>SUM(W172:W173)</f>
        <v>0</v>
      </c>
      <c r="X170" s="112">
        <f>SUM(X172:X173)</f>
        <v>0</v>
      </c>
      <c r="Y170" s="28">
        <f>SUM(S170:V170)</f>
        <v>322236.4</v>
      </c>
      <c r="Z170" s="28">
        <f t="shared" si="57"/>
        <v>0</v>
      </c>
    </row>
    <row r="171" spans="1:26" ht="24" customHeight="1">
      <c r="A171" s="301" t="s">
        <v>483</v>
      </c>
      <c r="B171" s="302"/>
      <c r="C171" s="302"/>
      <c r="D171" s="302"/>
      <c r="E171" s="302"/>
      <c r="F171" s="303"/>
      <c r="G171" s="216" t="s">
        <v>33</v>
      </c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69">
        <f>SUM(S171:V171)</f>
        <v>247880.95</v>
      </c>
      <c r="S171" s="93">
        <v>4880.96</v>
      </c>
      <c r="T171" s="94">
        <v>14874.7</v>
      </c>
      <c r="U171" s="94">
        <f>98676.56+10250-9000</f>
        <v>99926.56</v>
      </c>
      <c r="V171" s="93">
        <f>13027.77+47092.4-10000+377.33+26207.17+51106.51+387.55</f>
        <v>128198.73</v>
      </c>
      <c r="W171" s="105">
        <v>0</v>
      </c>
      <c r="X171" s="102">
        <v>0</v>
      </c>
      <c r="Y171" s="28"/>
      <c r="Z171" s="28"/>
    </row>
    <row r="172" spans="1:26" s="65" customFormat="1" ht="12.75" customHeight="1">
      <c r="A172" s="301" t="s">
        <v>484</v>
      </c>
      <c r="B172" s="302"/>
      <c r="C172" s="302"/>
      <c r="D172" s="302"/>
      <c r="E172" s="302"/>
      <c r="F172" s="303"/>
      <c r="G172" s="216" t="s">
        <v>34</v>
      </c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69">
        <f>SUM(S172:V172)</f>
        <v>74355.45</v>
      </c>
      <c r="S172" s="93">
        <v>1124.51</v>
      </c>
      <c r="T172" s="94">
        <v>4492.16</v>
      </c>
      <c r="U172" s="94">
        <f>29800.32+3095.5+9000</f>
        <v>41895.82</v>
      </c>
      <c r="V172" s="93">
        <f>10000-377.33+6932.7+10675.14-387.55</f>
        <v>26842.96</v>
      </c>
      <c r="W172" s="114">
        <v>0</v>
      </c>
      <c r="X172" s="104">
        <v>0</v>
      </c>
      <c r="Y172" s="64">
        <f>SUM(S172:V172)</f>
        <v>74355.45</v>
      </c>
      <c r="Z172" s="28">
        <f>R172-S172-T172-U172-V172</f>
        <v>0</v>
      </c>
    </row>
    <row r="173" spans="1:26" s="65" customFormat="1" ht="24" customHeight="1">
      <c r="A173" s="301" t="s">
        <v>480</v>
      </c>
      <c r="B173" s="302"/>
      <c r="C173" s="302"/>
      <c r="D173" s="302"/>
      <c r="E173" s="302"/>
      <c r="F173" s="303"/>
      <c r="G173" s="216" t="s">
        <v>362</v>
      </c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68">
        <f>R174</f>
        <v>138455.97</v>
      </c>
      <c r="S173" s="91">
        <v>0</v>
      </c>
      <c r="T173" s="92">
        <v>0</v>
      </c>
      <c r="U173" s="92">
        <f>U174</f>
        <v>23259.3</v>
      </c>
      <c r="V173" s="91">
        <f>V174</f>
        <v>115196.67000000001</v>
      </c>
      <c r="W173" s="122">
        <v>0</v>
      </c>
      <c r="X173" s="103">
        <v>0</v>
      </c>
      <c r="Y173" s="64">
        <f>SUM(S173:V173)</f>
        <v>138455.97</v>
      </c>
      <c r="Z173" s="28">
        <f>R173-S173-T173-U173-V173</f>
        <v>0</v>
      </c>
    </row>
    <row r="174" spans="1:26" s="65" customFormat="1" ht="12.75">
      <c r="A174" s="301" t="s">
        <v>481</v>
      </c>
      <c r="B174" s="302"/>
      <c r="C174" s="302"/>
      <c r="D174" s="302"/>
      <c r="E174" s="302"/>
      <c r="F174" s="303"/>
      <c r="G174" s="216" t="s">
        <v>363</v>
      </c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68">
        <f>R175</f>
        <v>138455.97</v>
      </c>
      <c r="S174" s="91">
        <f>S175</f>
        <v>0</v>
      </c>
      <c r="T174" s="92">
        <f>T175</f>
        <v>0</v>
      </c>
      <c r="U174" s="92">
        <f>U175</f>
        <v>23259.3</v>
      </c>
      <c r="V174" s="91">
        <f>V175</f>
        <v>115196.67000000001</v>
      </c>
      <c r="W174" s="122">
        <v>0</v>
      </c>
      <c r="X174" s="103">
        <v>0</v>
      </c>
      <c r="Y174" s="64"/>
      <c r="Z174" s="28"/>
    </row>
    <row r="175" spans="1:26" s="65" customFormat="1" ht="24" customHeight="1">
      <c r="A175" s="301" t="s">
        <v>482</v>
      </c>
      <c r="B175" s="302"/>
      <c r="C175" s="302"/>
      <c r="D175" s="302"/>
      <c r="E175" s="302"/>
      <c r="F175" s="303"/>
      <c r="G175" s="216" t="s">
        <v>205</v>
      </c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69">
        <f>SUM(S175:V175)</f>
        <v>138455.97</v>
      </c>
      <c r="S175" s="93">
        <v>0</v>
      </c>
      <c r="T175" s="94">
        <v>0</v>
      </c>
      <c r="U175" s="94">
        <v>23259.3</v>
      </c>
      <c r="V175" s="93">
        <f>3431.7+40724.5+60237.12+10803.35</f>
        <v>115196.67000000001</v>
      </c>
      <c r="W175" s="114">
        <v>0</v>
      </c>
      <c r="X175" s="104">
        <v>0</v>
      </c>
      <c r="Y175" s="64"/>
      <c r="Z175" s="28"/>
    </row>
    <row r="176" spans="1:26" ht="12.75">
      <c r="A176" s="201" t="s">
        <v>184</v>
      </c>
      <c r="B176" s="202"/>
      <c r="C176" s="202"/>
      <c r="D176" s="202"/>
      <c r="E176" s="202"/>
      <c r="F176" s="72"/>
      <c r="G176" s="292" t="s">
        <v>186</v>
      </c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34">
        <f>R177+R186+R199</f>
        <v>1303902.76</v>
      </c>
      <c r="S176" s="148">
        <f aca="true" t="shared" si="67" ref="S176:X176">S177+S186+S199</f>
        <v>352040</v>
      </c>
      <c r="T176" s="29">
        <f t="shared" si="67"/>
        <v>608130.46</v>
      </c>
      <c r="U176" s="29">
        <f t="shared" si="67"/>
        <v>72251.64</v>
      </c>
      <c r="V176" s="53">
        <f t="shared" si="67"/>
        <v>271480.66000000003</v>
      </c>
      <c r="W176" s="34">
        <f t="shared" si="67"/>
        <v>749700</v>
      </c>
      <c r="X176" s="96">
        <f t="shared" si="67"/>
        <v>767600</v>
      </c>
      <c r="Y176" s="64">
        <f aca="true" t="shared" si="68" ref="Y176:Y234">SUM(S176:V176)</f>
        <v>1303902.76</v>
      </c>
      <c r="Z176" s="28">
        <f aca="true" t="shared" si="69" ref="Z176:Z208">R176-S176-T176-U176-V176</f>
        <v>0</v>
      </c>
    </row>
    <row r="177" spans="1:26" ht="12.75">
      <c r="A177" s="186" t="s">
        <v>188</v>
      </c>
      <c r="B177" s="181"/>
      <c r="C177" s="181"/>
      <c r="D177" s="181"/>
      <c r="E177" s="181"/>
      <c r="F177" s="211"/>
      <c r="G177" s="222" t="s">
        <v>187</v>
      </c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46">
        <f>R178</f>
        <v>746975.5599999999</v>
      </c>
      <c r="S177" s="75">
        <f aca="true" t="shared" si="70" ref="S177:X180">S178</f>
        <v>352040</v>
      </c>
      <c r="T177" s="44">
        <f t="shared" si="70"/>
        <v>102578.45999999999</v>
      </c>
      <c r="U177" s="44">
        <f t="shared" si="70"/>
        <v>72251.64</v>
      </c>
      <c r="V177" s="75">
        <f t="shared" si="70"/>
        <v>220105.46000000002</v>
      </c>
      <c r="W177" s="124">
        <f t="shared" si="70"/>
        <v>749700</v>
      </c>
      <c r="X177" s="127">
        <f t="shared" si="70"/>
        <v>767600</v>
      </c>
      <c r="Y177" s="64">
        <f t="shared" si="68"/>
        <v>746975.56</v>
      </c>
      <c r="Z177" s="28">
        <f t="shared" si="69"/>
        <v>0</v>
      </c>
    </row>
    <row r="178" spans="1:26" ht="12.75">
      <c r="A178" s="198" t="s">
        <v>404</v>
      </c>
      <c r="B178" s="199"/>
      <c r="C178" s="199"/>
      <c r="D178" s="199"/>
      <c r="E178" s="199"/>
      <c r="F178" s="73"/>
      <c r="G178" s="310" t="s">
        <v>405</v>
      </c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47">
        <f>R179</f>
        <v>746975.5599999999</v>
      </c>
      <c r="S178" s="77">
        <f aca="true" t="shared" si="71" ref="S178:X178">S179</f>
        <v>352040</v>
      </c>
      <c r="T178" s="30">
        <f t="shared" si="71"/>
        <v>102578.45999999999</v>
      </c>
      <c r="U178" s="30">
        <f t="shared" si="71"/>
        <v>72251.64</v>
      </c>
      <c r="V178" s="77">
        <f t="shared" si="71"/>
        <v>220105.46000000002</v>
      </c>
      <c r="W178" s="125">
        <f t="shared" si="71"/>
        <v>749700</v>
      </c>
      <c r="X178" s="128">
        <f t="shared" si="71"/>
        <v>767600</v>
      </c>
      <c r="Y178" s="64">
        <f t="shared" si="68"/>
        <v>746975.56</v>
      </c>
      <c r="Z178" s="28">
        <f t="shared" si="69"/>
        <v>0</v>
      </c>
    </row>
    <row r="179" spans="1:26" ht="24" customHeight="1">
      <c r="A179" s="192" t="s">
        <v>406</v>
      </c>
      <c r="B179" s="193"/>
      <c r="C179" s="193"/>
      <c r="D179" s="193"/>
      <c r="E179" s="193"/>
      <c r="F179" s="38"/>
      <c r="G179" s="216" t="s">
        <v>189</v>
      </c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48">
        <f>R180</f>
        <v>746975.5599999999</v>
      </c>
      <c r="S179" s="54">
        <f t="shared" si="70"/>
        <v>352040</v>
      </c>
      <c r="T179" s="31">
        <f t="shared" si="70"/>
        <v>102578.45999999999</v>
      </c>
      <c r="U179" s="31">
        <f t="shared" si="70"/>
        <v>72251.64</v>
      </c>
      <c r="V179" s="54">
        <f t="shared" si="70"/>
        <v>220105.46000000002</v>
      </c>
      <c r="W179" s="113">
        <f t="shared" si="70"/>
        <v>749700</v>
      </c>
      <c r="X179" s="112">
        <f t="shared" si="70"/>
        <v>767600</v>
      </c>
      <c r="Y179" s="64">
        <f t="shared" si="68"/>
        <v>746975.56</v>
      </c>
      <c r="Z179" s="28">
        <f t="shared" si="69"/>
        <v>0</v>
      </c>
    </row>
    <row r="180" spans="1:26" s="65" customFormat="1" ht="24" customHeight="1">
      <c r="A180" s="192" t="s">
        <v>407</v>
      </c>
      <c r="B180" s="193"/>
      <c r="C180" s="193"/>
      <c r="D180" s="193"/>
      <c r="E180" s="193"/>
      <c r="F180" s="38"/>
      <c r="G180" s="216" t="s">
        <v>190</v>
      </c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48">
        <f>R181</f>
        <v>746975.5599999999</v>
      </c>
      <c r="S180" s="54">
        <f t="shared" si="70"/>
        <v>352040</v>
      </c>
      <c r="T180" s="31">
        <f t="shared" si="70"/>
        <v>102578.45999999999</v>
      </c>
      <c r="U180" s="31">
        <f t="shared" si="70"/>
        <v>72251.64</v>
      </c>
      <c r="V180" s="54">
        <f t="shared" si="70"/>
        <v>220105.46000000002</v>
      </c>
      <c r="W180" s="113">
        <f t="shared" si="70"/>
        <v>749700</v>
      </c>
      <c r="X180" s="112">
        <f t="shared" si="70"/>
        <v>767600</v>
      </c>
      <c r="Y180" s="64">
        <f t="shared" si="68"/>
        <v>746975.56</v>
      </c>
      <c r="Z180" s="28">
        <f t="shared" si="69"/>
        <v>0</v>
      </c>
    </row>
    <row r="181" spans="1:26" s="65" customFormat="1" ht="24" customHeight="1">
      <c r="A181" s="192" t="s">
        <v>408</v>
      </c>
      <c r="B181" s="193"/>
      <c r="C181" s="193"/>
      <c r="D181" s="193"/>
      <c r="E181" s="193"/>
      <c r="F181" s="38"/>
      <c r="G181" s="216" t="s">
        <v>191</v>
      </c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48">
        <f>SUM(R182:R185)</f>
        <v>746975.5599999999</v>
      </c>
      <c r="S181" s="54">
        <f aca="true" t="shared" si="72" ref="S181:X181">SUM(S182:S184)</f>
        <v>352040</v>
      </c>
      <c r="T181" s="31">
        <f>SUM(T182:T185)</f>
        <v>102578.45999999999</v>
      </c>
      <c r="U181" s="31">
        <f>SUM(U182:U185)</f>
        <v>72251.64</v>
      </c>
      <c r="V181" s="54">
        <f>SUM(V182:V185)</f>
        <v>220105.46000000002</v>
      </c>
      <c r="W181" s="113">
        <f t="shared" si="72"/>
        <v>749700</v>
      </c>
      <c r="X181" s="112">
        <f t="shared" si="72"/>
        <v>767600</v>
      </c>
      <c r="Y181" s="64">
        <f t="shared" si="68"/>
        <v>746975.56</v>
      </c>
      <c r="Z181" s="28">
        <f t="shared" si="69"/>
        <v>0</v>
      </c>
    </row>
    <row r="182" spans="1:26" s="65" customFormat="1" ht="12.75">
      <c r="A182" s="192" t="s">
        <v>409</v>
      </c>
      <c r="B182" s="193"/>
      <c r="C182" s="193"/>
      <c r="D182" s="193"/>
      <c r="E182" s="193"/>
      <c r="F182" s="38"/>
      <c r="G182" s="216" t="s">
        <v>39</v>
      </c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49">
        <f>S182+T182+U182+V182</f>
        <v>63248</v>
      </c>
      <c r="S182" s="85">
        <f>34975+10000</f>
        <v>44975</v>
      </c>
      <c r="T182" s="86">
        <f>34975-16702</f>
        <v>18273</v>
      </c>
      <c r="U182" s="86">
        <f>34975-34975</f>
        <v>0</v>
      </c>
      <c r="V182" s="85">
        <f>34975-34975</f>
        <v>0</v>
      </c>
      <c r="W182" s="105">
        <v>166700</v>
      </c>
      <c r="X182" s="102">
        <v>184600</v>
      </c>
      <c r="Y182" s="64">
        <f t="shared" si="68"/>
        <v>63248</v>
      </c>
      <c r="Z182" s="28">
        <f t="shared" si="69"/>
        <v>0</v>
      </c>
    </row>
    <row r="183" spans="1:26" s="65" customFormat="1" ht="12.75">
      <c r="A183" s="192" t="s">
        <v>410</v>
      </c>
      <c r="B183" s="193"/>
      <c r="C183" s="193"/>
      <c r="D183" s="193"/>
      <c r="E183" s="193"/>
      <c r="F183" s="38"/>
      <c r="G183" s="216" t="s">
        <v>41</v>
      </c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49">
        <f>S183+T183+U183+V183</f>
        <v>645954.46</v>
      </c>
      <c r="S183" s="85">
        <f>200000+112065-10000-5416</f>
        <v>296649</v>
      </c>
      <c r="T183" s="86">
        <f>81500+200000-197194.54</f>
        <v>84305.45999999999</v>
      </c>
      <c r="U183" s="86">
        <f>81500-36605.46</f>
        <v>44894.54</v>
      </c>
      <c r="V183" s="85">
        <f>200000-200000+100000+121105.46-1000</f>
        <v>220105.46000000002</v>
      </c>
      <c r="W183" s="105">
        <v>563000</v>
      </c>
      <c r="X183" s="102">
        <v>563000</v>
      </c>
      <c r="Y183" s="64">
        <f t="shared" si="68"/>
        <v>645954.46</v>
      </c>
      <c r="Z183" s="28">
        <f t="shared" si="69"/>
        <v>0</v>
      </c>
    </row>
    <row r="184" spans="1:26" s="65" customFormat="1" ht="12.75" customHeight="1">
      <c r="A184" s="192" t="s">
        <v>411</v>
      </c>
      <c r="B184" s="193"/>
      <c r="C184" s="193"/>
      <c r="D184" s="193"/>
      <c r="E184" s="193"/>
      <c r="F184" s="38"/>
      <c r="G184" s="216" t="s">
        <v>42</v>
      </c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49">
        <f>S184+T184+U184+V184</f>
        <v>10416</v>
      </c>
      <c r="S184" s="85">
        <f>5000+5416</f>
        <v>10416</v>
      </c>
      <c r="T184" s="86">
        <f>5000-5000</f>
        <v>0</v>
      </c>
      <c r="U184" s="86">
        <f>5000-5000</f>
        <v>0</v>
      </c>
      <c r="V184" s="85">
        <f>5000-5000</f>
        <v>0</v>
      </c>
      <c r="W184" s="105">
        <v>20000</v>
      </c>
      <c r="X184" s="102">
        <v>20000</v>
      </c>
      <c r="Y184" s="64">
        <f t="shared" si="68"/>
        <v>10416</v>
      </c>
      <c r="Z184" s="28">
        <f t="shared" si="69"/>
        <v>0</v>
      </c>
    </row>
    <row r="185" spans="1:26" s="65" customFormat="1" ht="12.75" customHeight="1">
      <c r="A185" s="192" t="s">
        <v>493</v>
      </c>
      <c r="B185" s="193"/>
      <c r="C185" s="193"/>
      <c r="D185" s="193"/>
      <c r="E185" s="193"/>
      <c r="F185" s="38"/>
      <c r="G185" s="216" t="s">
        <v>70</v>
      </c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49">
        <f>S185+T185+U185+V185</f>
        <v>27357.1</v>
      </c>
      <c r="S185" s="85"/>
      <c r="T185" s="86"/>
      <c r="U185" s="86">
        <f>40000-12642.9</f>
        <v>27357.1</v>
      </c>
      <c r="V185" s="85"/>
      <c r="W185" s="105">
        <v>20000</v>
      </c>
      <c r="X185" s="102">
        <v>20000</v>
      </c>
      <c r="Y185" s="64">
        <f>SUM(S185:V185)</f>
        <v>27357.1</v>
      </c>
      <c r="Z185" s="28">
        <f t="shared" si="69"/>
        <v>0</v>
      </c>
    </row>
    <row r="186" spans="1:26" s="65" customFormat="1" ht="16.5" customHeight="1">
      <c r="A186" s="186" t="s">
        <v>192</v>
      </c>
      <c r="B186" s="181"/>
      <c r="C186" s="181"/>
      <c r="D186" s="181"/>
      <c r="E186" s="181"/>
      <c r="F186" s="41"/>
      <c r="G186" s="184" t="s">
        <v>179</v>
      </c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46">
        <f>R187+R193</f>
        <v>505552</v>
      </c>
      <c r="S186" s="149">
        <f aca="true" t="shared" si="73" ref="S186:X186">S187+S193</f>
        <v>0</v>
      </c>
      <c r="T186" s="44">
        <f t="shared" si="73"/>
        <v>505552</v>
      </c>
      <c r="U186" s="44">
        <f t="shared" si="73"/>
        <v>0</v>
      </c>
      <c r="V186" s="75">
        <f t="shared" si="73"/>
        <v>0</v>
      </c>
      <c r="W186" s="46">
        <f t="shared" si="73"/>
        <v>0</v>
      </c>
      <c r="X186" s="97">
        <f t="shared" si="73"/>
        <v>0</v>
      </c>
      <c r="Y186" s="64">
        <f t="shared" si="68"/>
        <v>505552</v>
      </c>
      <c r="Z186" s="28">
        <f t="shared" si="69"/>
        <v>0</v>
      </c>
    </row>
    <row r="187" spans="1:26" s="65" customFormat="1" ht="24" customHeight="1" hidden="1">
      <c r="A187" s="198" t="s">
        <v>193</v>
      </c>
      <c r="B187" s="199"/>
      <c r="C187" s="199"/>
      <c r="D187" s="199"/>
      <c r="E187" s="199"/>
      <c r="F187" s="73"/>
      <c r="G187" s="220" t="s">
        <v>194</v>
      </c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47">
        <f aca="true" t="shared" si="74" ref="R187:R195">R188</f>
        <v>0</v>
      </c>
      <c r="S187" s="77">
        <f aca="true" t="shared" si="75" ref="S187:X195">S188</f>
        <v>0</v>
      </c>
      <c r="T187" s="30">
        <f t="shared" si="75"/>
        <v>0</v>
      </c>
      <c r="U187" s="30">
        <f t="shared" si="75"/>
        <v>0</v>
      </c>
      <c r="V187" s="77">
        <f t="shared" si="75"/>
        <v>0</v>
      </c>
      <c r="W187" s="47">
        <f t="shared" si="75"/>
        <v>0</v>
      </c>
      <c r="X187" s="98">
        <f t="shared" si="75"/>
        <v>0</v>
      </c>
      <c r="Y187" s="64">
        <f t="shared" si="68"/>
        <v>0</v>
      </c>
      <c r="Z187" s="28">
        <f t="shared" si="69"/>
        <v>0</v>
      </c>
    </row>
    <row r="188" spans="1:26" s="65" customFormat="1" ht="12.75" hidden="1">
      <c r="A188" s="192" t="s">
        <v>195</v>
      </c>
      <c r="B188" s="193"/>
      <c r="C188" s="193"/>
      <c r="D188" s="193"/>
      <c r="E188" s="193"/>
      <c r="F188" s="38"/>
      <c r="G188" s="216" t="s">
        <v>196</v>
      </c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48">
        <f t="shared" si="74"/>
        <v>0</v>
      </c>
      <c r="S188" s="54">
        <f t="shared" si="75"/>
        <v>0</v>
      </c>
      <c r="T188" s="31">
        <f t="shared" si="75"/>
        <v>0</v>
      </c>
      <c r="U188" s="31">
        <f t="shared" si="75"/>
        <v>0</v>
      </c>
      <c r="V188" s="54">
        <f t="shared" si="75"/>
        <v>0</v>
      </c>
      <c r="W188" s="48">
        <f t="shared" si="75"/>
        <v>0</v>
      </c>
      <c r="X188" s="99">
        <f t="shared" si="75"/>
        <v>0</v>
      </c>
      <c r="Y188" s="64">
        <f t="shared" si="68"/>
        <v>0</v>
      </c>
      <c r="Z188" s="28">
        <f t="shared" si="69"/>
        <v>0</v>
      </c>
    </row>
    <row r="189" spans="1:26" s="65" customFormat="1" ht="12.75" hidden="1">
      <c r="A189" s="192" t="s">
        <v>198</v>
      </c>
      <c r="B189" s="193"/>
      <c r="C189" s="193"/>
      <c r="D189" s="193"/>
      <c r="E189" s="193"/>
      <c r="F189" s="38"/>
      <c r="G189" s="216" t="s">
        <v>197</v>
      </c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48">
        <f t="shared" si="74"/>
        <v>0</v>
      </c>
      <c r="S189" s="54">
        <f t="shared" si="75"/>
        <v>0</v>
      </c>
      <c r="T189" s="31">
        <f t="shared" si="75"/>
        <v>0</v>
      </c>
      <c r="U189" s="31">
        <f t="shared" si="75"/>
        <v>0</v>
      </c>
      <c r="V189" s="54">
        <f t="shared" si="75"/>
        <v>0</v>
      </c>
      <c r="W189" s="48">
        <f t="shared" si="75"/>
        <v>0</v>
      </c>
      <c r="X189" s="99">
        <f t="shared" si="75"/>
        <v>0</v>
      </c>
      <c r="Y189" s="64">
        <f t="shared" si="68"/>
        <v>0</v>
      </c>
      <c r="Z189" s="28">
        <f t="shared" si="69"/>
        <v>0</v>
      </c>
    </row>
    <row r="190" spans="1:26" s="65" customFormat="1" ht="12.75" hidden="1">
      <c r="A190" s="192" t="s">
        <v>199</v>
      </c>
      <c r="B190" s="193"/>
      <c r="C190" s="193"/>
      <c r="D190" s="193"/>
      <c r="E190" s="193"/>
      <c r="F190" s="38"/>
      <c r="G190" s="216" t="s">
        <v>200</v>
      </c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48">
        <f t="shared" si="74"/>
        <v>0</v>
      </c>
      <c r="S190" s="54">
        <f t="shared" si="75"/>
        <v>0</v>
      </c>
      <c r="T190" s="31">
        <f t="shared" si="75"/>
        <v>0</v>
      </c>
      <c r="U190" s="31">
        <f t="shared" si="75"/>
        <v>0</v>
      </c>
      <c r="V190" s="54">
        <f t="shared" si="75"/>
        <v>0</v>
      </c>
      <c r="W190" s="48">
        <f t="shared" si="75"/>
        <v>0</v>
      </c>
      <c r="X190" s="99">
        <f t="shared" si="75"/>
        <v>0</v>
      </c>
      <c r="Y190" s="64">
        <f t="shared" si="68"/>
        <v>0</v>
      </c>
      <c r="Z190" s="28">
        <f t="shared" si="69"/>
        <v>0</v>
      </c>
    </row>
    <row r="191" spans="1:26" s="65" customFormat="1" ht="35.25" customHeight="1" hidden="1">
      <c r="A191" s="192" t="s">
        <v>201</v>
      </c>
      <c r="B191" s="193"/>
      <c r="C191" s="193"/>
      <c r="D191" s="193"/>
      <c r="E191" s="193"/>
      <c r="F191" s="38"/>
      <c r="G191" s="216" t="s">
        <v>202</v>
      </c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48">
        <f t="shared" si="74"/>
        <v>0</v>
      </c>
      <c r="S191" s="54">
        <f t="shared" si="75"/>
        <v>0</v>
      </c>
      <c r="T191" s="31">
        <f t="shared" si="75"/>
        <v>0</v>
      </c>
      <c r="U191" s="31">
        <f t="shared" si="75"/>
        <v>0</v>
      </c>
      <c r="V191" s="54">
        <f t="shared" si="75"/>
        <v>0</v>
      </c>
      <c r="W191" s="113">
        <f t="shared" si="75"/>
        <v>0</v>
      </c>
      <c r="X191" s="112">
        <f t="shared" si="75"/>
        <v>0</v>
      </c>
      <c r="Y191" s="64">
        <f t="shared" si="68"/>
        <v>0</v>
      </c>
      <c r="Z191" s="28">
        <f t="shared" si="69"/>
        <v>0</v>
      </c>
    </row>
    <row r="192" spans="1:26" s="65" customFormat="1" ht="12.75" hidden="1">
      <c r="A192" s="192" t="s">
        <v>203</v>
      </c>
      <c r="B192" s="193"/>
      <c r="C192" s="193"/>
      <c r="D192" s="193"/>
      <c r="E192" s="193"/>
      <c r="F192" s="38"/>
      <c r="G192" s="216" t="s">
        <v>41</v>
      </c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49">
        <f>S192+T192+U192+V192</f>
        <v>0</v>
      </c>
      <c r="S192" s="85">
        <v>0</v>
      </c>
      <c r="T192" s="86">
        <f>4121250-4121250</f>
        <v>0</v>
      </c>
      <c r="U192" s="86">
        <f>4121250-4121250</f>
        <v>0</v>
      </c>
      <c r="V192" s="85">
        <v>0</v>
      </c>
      <c r="W192" s="105">
        <v>0</v>
      </c>
      <c r="X192" s="102">
        <v>0</v>
      </c>
      <c r="Y192" s="64">
        <f t="shared" si="68"/>
        <v>0</v>
      </c>
      <c r="Z192" s="28">
        <f t="shared" si="69"/>
        <v>0</v>
      </c>
    </row>
    <row r="193" spans="1:26" s="65" customFormat="1" ht="12.75">
      <c r="A193" s="198" t="s">
        <v>515</v>
      </c>
      <c r="B193" s="199"/>
      <c r="C193" s="199"/>
      <c r="D193" s="199"/>
      <c r="E193" s="199"/>
      <c r="F193" s="73"/>
      <c r="G193" s="220" t="s">
        <v>386</v>
      </c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47">
        <f>R194</f>
        <v>505552</v>
      </c>
      <c r="S193" s="158">
        <f aca="true" t="shared" si="76" ref="S193:X193">S194</f>
        <v>0</v>
      </c>
      <c r="T193" s="30">
        <f>T194</f>
        <v>505552</v>
      </c>
      <c r="U193" s="30">
        <f t="shared" si="76"/>
        <v>0</v>
      </c>
      <c r="V193" s="77">
        <f t="shared" si="76"/>
        <v>0</v>
      </c>
      <c r="W193" s="47">
        <f t="shared" si="76"/>
        <v>0</v>
      </c>
      <c r="X193" s="98">
        <f t="shared" si="76"/>
        <v>0</v>
      </c>
      <c r="Y193" s="64">
        <f aca="true" t="shared" si="77" ref="Y193:Y198">SUM(S193:V193)</f>
        <v>505552</v>
      </c>
      <c r="Z193" s="28">
        <f aca="true" t="shared" si="78" ref="Z193:Z198">R193-S193-T193-U193-V193</f>
        <v>0</v>
      </c>
    </row>
    <row r="194" spans="1:26" s="65" customFormat="1" ht="26.25" customHeight="1">
      <c r="A194" s="192" t="s">
        <v>521</v>
      </c>
      <c r="B194" s="193"/>
      <c r="C194" s="193"/>
      <c r="D194" s="193"/>
      <c r="E194" s="193"/>
      <c r="F194" s="38"/>
      <c r="G194" s="216" t="s">
        <v>189</v>
      </c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48">
        <f>R195</f>
        <v>505552</v>
      </c>
      <c r="S194" s="54">
        <f t="shared" si="75"/>
        <v>0</v>
      </c>
      <c r="T194" s="31">
        <f t="shared" si="75"/>
        <v>505552</v>
      </c>
      <c r="U194" s="31">
        <f t="shared" si="75"/>
        <v>0</v>
      </c>
      <c r="V194" s="54">
        <f t="shared" si="75"/>
        <v>0</v>
      </c>
      <c r="W194" s="48">
        <f t="shared" si="75"/>
        <v>0</v>
      </c>
      <c r="X194" s="99">
        <f t="shared" si="75"/>
        <v>0</v>
      </c>
      <c r="Y194" s="64">
        <f t="shared" si="77"/>
        <v>505552</v>
      </c>
      <c r="Z194" s="28">
        <f t="shared" si="78"/>
        <v>0</v>
      </c>
    </row>
    <row r="195" spans="1:26" s="65" customFormat="1" ht="26.25" customHeight="1">
      <c r="A195" s="192" t="s">
        <v>518</v>
      </c>
      <c r="B195" s="193"/>
      <c r="C195" s="193"/>
      <c r="D195" s="193"/>
      <c r="E195" s="193"/>
      <c r="F195" s="38"/>
      <c r="G195" s="216" t="s">
        <v>190</v>
      </c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48">
        <f t="shared" si="74"/>
        <v>505552</v>
      </c>
      <c r="S195" s="54">
        <f t="shared" si="75"/>
        <v>0</v>
      </c>
      <c r="T195" s="31">
        <f t="shared" si="75"/>
        <v>505552</v>
      </c>
      <c r="U195" s="31">
        <f t="shared" si="75"/>
        <v>0</v>
      </c>
      <c r="V195" s="54">
        <f t="shared" si="75"/>
        <v>0</v>
      </c>
      <c r="W195" s="48">
        <f t="shared" si="75"/>
        <v>0</v>
      </c>
      <c r="X195" s="99">
        <f t="shared" si="75"/>
        <v>0</v>
      </c>
      <c r="Y195" s="64">
        <f t="shared" si="77"/>
        <v>505552</v>
      </c>
      <c r="Z195" s="28">
        <f t="shared" si="78"/>
        <v>0</v>
      </c>
    </row>
    <row r="196" spans="1:26" s="65" customFormat="1" ht="25.5" customHeight="1">
      <c r="A196" s="192" t="s">
        <v>517</v>
      </c>
      <c r="B196" s="193"/>
      <c r="C196" s="193"/>
      <c r="D196" s="193"/>
      <c r="E196" s="193"/>
      <c r="F196" s="38"/>
      <c r="G196" s="216" t="s">
        <v>191</v>
      </c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48">
        <f>R198+R197</f>
        <v>505552</v>
      </c>
      <c r="S196" s="151">
        <f aca="true" t="shared" si="79" ref="S196:X196">S198+S197</f>
        <v>0</v>
      </c>
      <c r="T196" s="31">
        <f t="shared" si="79"/>
        <v>505552</v>
      </c>
      <c r="U196" s="31">
        <f t="shared" si="79"/>
        <v>0</v>
      </c>
      <c r="V196" s="99">
        <f t="shared" si="79"/>
        <v>0</v>
      </c>
      <c r="W196" s="48">
        <f t="shared" si="79"/>
        <v>0</v>
      </c>
      <c r="X196" s="48">
        <f t="shared" si="79"/>
        <v>0</v>
      </c>
      <c r="Y196" s="64">
        <f t="shared" si="77"/>
        <v>505552</v>
      </c>
      <c r="Z196" s="28">
        <f t="shared" si="78"/>
        <v>0</v>
      </c>
    </row>
    <row r="197" spans="1:26" s="65" customFormat="1" ht="12.75" customHeight="1">
      <c r="A197" s="192" t="s">
        <v>533</v>
      </c>
      <c r="B197" s="193"/>
      <c r="C197" s="193"/>
      <c r="D197" s="193"/>
      <c r="E197" s="193"/>
      <c r="F197" s="38"/>
      <c r="G197" s="216" t="s">
        <v>41</v>
      </c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49">
        <f>S197+T197+U197+V197</f>
        <v>53255.7</v>
      </c>
      <c r="S197" s="85">
        <v>0</v>
      </c>
      <c r="T197" s="86">
        <v>53255.7</v>
      </c>
      <c r="U197" s="86">
        <v>0</v>
      </c>
      <c r="V197" s="85">
        <v>0</v>
      </c>
      <c r="W197" s="105">
        <v>0</v>
      </c>
      <c r="X197" s="102">
        <v>0</v>
      </c>
      <c r="Y197" s="64">
        <f t="shared" si="77"/>
        <v>53255.7</v>
      </c>
      <c r="Z197" s="28">
        <f t="shared" si="78"/>
        <v>0</v>
      </c>
    </row>
    <row r="198" spans="1:26" s="65" customFormat="1" ht="12.75" customHeight="1">
      <c r="A198" s="192" t="s">
        <v>516</v>
      </c>
      <c r="B198" s="193"/>
      <c r="C198" s="193"/>
      <c r="D198" s="193"/>
      <c r="E198" s="193"/>
      <c r="F198" s="38"/>
      <c r="G198" s="216" t="s">
        <v>42</v>
      </c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49">
        <f>S198+T198+U198+V198</f>
        <v>452296.3</v>
      </c>
      <c r="S198" s="85">
        <v>0</v>
      </c>
      <c r="T198" s="86">
        <f>505552-53255.7</f>
        <v>452296.3</v>
      </c>
      <c r="U198" s="86">
        <v>0</v>
      </c>
      <c r="V198" s="85">
        <v>0</v>
      </c>
      <c r="W198" s="105">
        <v>0</v>
      </c>
      <c r="X198" s="102">
        <v>0</v>
      </c>
      <c r="Y198" s="64">
        <f t="shared" si="77"/>
        <v>452296.3</v>
      </c>
      <c r="Z198" s="28">
        <f t="shared" si="78"/>
        <v>0</v>
      </c>
    </row>
    <row r="199" spans="1:26" ht="14.25" customHeight="1">
      <c r="A199" s="186" t="s">
        <v>519</v>
      </c>
      <c r="B199" s="181"/>
      <c r="C199" s="181"/>
      <c r="D199" s="181"/>
      <c r="E199" s="181"/>
      <c r="F199" s="211"/>
      <c r="G199" s="281" t="s">
        <v>509</v>
      </c>
      <c r="H199" s="282"/>
      <c r="I199" s="282"/>
      <c r="J199" s="282"/>
      <c r="K199" s="282"/>
      <c r="L199" s="282"/>
      <c r="M199" s="282"/>
      <c r="N199" s="282"/>
      <c r="O199" s="282"/>
      <c r="P199" s="155"/>
      <c r="Q199" s="155"/>
      <c r="R199" s="46">
        <f aca="true" t="shared" si="80" ref="R199:X202">R200</f>
        <v>51375.2</v>
      </c>
      <c r="S199" s="149">
        <f t="shared" si="80"/>
        <v>0</v>
      </c>
      <c r="T199" s="44">
        <f t="shared" si="80"/>
        <v>0</v>
      </c>
      <c r="U199" s="44">
        <f t="shared" si="80"/>
        <v>0</v>
      </c>
      <c r="V199" s="75">
        <f t="shared" si="80"/>
        <v>51375.2</v>
      </c>
      <c r="W199" s="46">
        <f t="shared" si="80"/>
        <v>0</v>
      </c>
      <c r="X199" s="97">
        <f t="shared" si="80"/>
        <v>0</v>
      </c>
      <c r="Y199" s="28"/>
      <c r="Z199" s="28"/>
    </row>
    <row r="200" spans="1:26" ht="12.75">
      <c r="A200" s="198" t="s">
        <v>520</v>
      </c>
      <c r="B200" s="199"/>
      <c r="C200" s="199"/>
      <c r="D200" s="199"/>
      <c r="E200" s="199"/>
      <c r="F200" s="200"/>
      <c r="G200" s="226" t="s">
        <v>510</v>
      </c>
      <c r="H200" s="227"/>
      <c r="I200" s="227"/>
      <c r="J200" s="227"/>
      <c r="K200" s="227"/>
      <c r="L200" s="227"/>
      <c r="M200" s="227"/>
      <c r="N200" s="227"/>
      <c r="O200" s="227"/>
      <c r="P200" s="154"/>
      <c r="Q200" s="154"/>
      <c r="R200" s="47">
        <f t="shared" si="80"/>
        <v>51375.2</v>
      </c>
      <c r="S200" s="158">
        <f t="shared" si="80"/>
        <v>0</v>
      </c>
      <c r="T200" s="30">
        <f t="shared" si="80"/>
        <v>0</v>
      </c>
      <c r="U200" s="30">
        <f t="shared" si="80"/>
        <v>0</v>
      </c>
      <c r="V200" s="77">
        <f t="shared" si="80"/>
        <v>51375.2</v>
      </c>
      <c r="W200" s="47">
        <f t="shared" si="80"/>
        <v>0</v>
      </c>
      <c r="X200" s="98">
        <f t="shared" si="80"/>
        <v>0</v>
      </c>
      <c r="Y200" s="28"/>
      <c r="Z200" s="28"/>
    </row>
    <row r="201" spans="1:26" ht="20.25" customHeight="1">
      <c r="A201" s="192" t="s">
        <v>522</v>
      </c>
      <c r="B201" s="193"/>
      <c r="C201" s="193"/>
      <c r="D201" s="193"/>
      <c r="E201" s="193"/>
      <c r="F201" s="194"/>
      <c r="G201" s="216" t="s">
        <v>189</v>
      </c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48">
        <f t="shared" si="80"/>
        <v>51375.2</v>
      </c>
      <c r="S201" s="151">
        <f t="shared" si="80"/>
        <v>0</v>
      </c>
      <c r="T201" s="31">
        <f t="shared" si="80"/>
        <v>0</v>
      </c>
      <c r="U201" s="31">
        <f t="shared" si="80"/>
        <v>0</v>
      </c>
      <c r="V201" s="54">
        <f t="shared" si="80"/>
        <v>51375.2</v>
      </c>
      <c r="W201" s="48">
        <f t="shared" si="80"/>
        <v>0</v>
      </c>
      <c r="X201" s="99">
        <f t="shared" si="80"/>
        <v>0</v>
      </c>
      <c r="Y201" s="28"/>
      <c r="Z201" s="28"/>
    </row>
    <row r="202" spans="1:26" ht="24.75" customHeight="1">
      <c r="A202" s="192" t="s">
        <v>523</v>
      </c>
      <c r="B202" s="193"/>
      <c r="C202" s="193"/>
      <c r="D202" s="193"/>
      <c r="E202" s="193"/>
      <c r="F202" s="194"/>
      <c r="G202" s="216" t="s">
        <v>190</v>
      </c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48">
        <f t="shared" si="80"/>
        <v>51375.2</v>
      </c>
      <c r="S202" s="151">
        <f t="shared" si="80"/>
        <v>0</v>
      </c>
      <c r="T202" s="31">
        <f t="shared" si="80"/>
        <v>0</v>
      </c>
      <c r="U202" s="31">
        <f t="shared" si="80"/>
        <v>0</v>
      </c>
      <c r="V202" s="54">
        <f t="shared" si="80"/>
        <v>51375.2</v>
      </c>
      <c r="W202" s="48">
        <f t="shared" si="80"/>
        <v>0</v>
      </c>
      <c r="X202" s="99">
        <f t="shared" si="80"/>
        <v>0</v>
      </c>
      <c r="Y202" s="28"/>
      <c r="Z202" s="28"/>
    </row>
    <row r="203" spans="1:26" ht="24" customHeight="1">
      <c r="A203" s="192" t="s">
        <v>523</v>
      </c>
      <c r="B203" s="193"/>
      <c r="C203" s="193"/>
      <c r="D203" s="193"/>
      <c r="E203" s="193"/>
      <c r="F203" s="194"/>
      <c r="G203" s="216" t="s">
        <v>191</v>
      </c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48">
        <f>R205+R204</f>
        <v>51375.2</v>
      </c>
      <c r="S203" s="151">
        <f aca="true" t="shared" si="81" ref="S203:X203">S204+S205</f>
        <v>0</v>
      </c>
      <c r="T203" s="31">
        <f t="shared" si="81"/>
        <v>0</v>
      </c>
      <c r="U203" s="31">
        <f t="shared" si="81"/>
        <v>0</v>
      </c>
      <c r="V203" s="54">
        <f t="shared" si="81"/>
        <v>51375.2</v>
      </c>
      <c r="W203" s="48">
        <f t="shared" si="81"/>
        <v>0</v>
      </c>
      <c r="X203" s="99">
        <f t="shared" si="81"/>
        <v>0</v>
      </c>
      <c r="Y203" s="28"/>
      <c r="Z203" s="28"/>
    </row>
    <row r="204" spans="1:26" s="65" customFormat="1" ht="12.75" customHeight="1">
      <c r="A204" s="192" t="s">
        <v>528</v>
      </c>
      <c r="B204" s="193"/>
      <c r="C204" s="193"/>
      <c r="D204" s="193"/>
      <c r="E204" s="193"/>
      <c r="F204" s="194"/>
      <c r="G204" s="216" t="s">
        <v>41</v>
      </c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49">
        <f>S204+T204+U204+V204</f>
        <v>1775.1999999999998</v>
      </c>
      <c r="S204" s="86">
        <v>0</v>
      </c>
      <c r="T204" s="86">
        <v>0</v>
      </c>
      <c r="U204" s="86">
        <v>0</v>
      </c>
      <c r="V204" s="166">
        <f>6572-4796.8</f>
        <v>1775.1999999999998</v>
      </c>
      <c r="W204" s="105">
        <v>0</v>
      </c>
      <c r="X204" s="102">
        <v>0</v>
      </c>
      <c r="Y204" s="64"/>
      <c r="Z204" s="28"/>
    </row>
    <row r="205" spans="1:26" s="65" customFormat="1" ht="12.75" customHeight="1">
      <c r="A205" s="192" t="s">
        <v>524</v>
      </c>
      <c r="B205" s="193"/>
      <c r="C205" s="193"/>
      <c r="D205" s="193"/>
      <c r="E205" s="193"/>
      <c r="F205" s="194"/>
      <c r="G205" s="216" t="s">
        <v>42</v>
      </c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49">
        <f>S205+T205+U205+V205</f>
        <v>49600</v>
      </c>
      <c r="S205" s="86">
        <v>0</v>
      </c>
      <c r="T205" s="86">
        <v>0</v>
      </c>
      <c r="U205" s="86">
        <v>0</v>
      </c>
      <c r="V205" s="166">
        <v>49600</v>
      </c>
      <c r="W205" s="105">
        <v>0</v>
      </c>
      <c r="X205" s="102">
        <v>0</v>
      </c>
      <c r="Y205" s="64"/>
      <c r="Z205" s="28"/>
    </row>
    <row r="206" spans="1:26" ht="12.75">
      <c r="A206" s="201" t="s">
        <v>143</v>
      </c>
      <c r="B206" s="202"/>
      <c r="C206" s="202"/>
      <c r="D206" s="202"/>
      <c r="E206" s="202"/>
      <c r="F206" s="72"/>
      <c r="G206" s="288" t="s">
        <v>185</v>
      </c>
      <c r="H206" s="289"/>
      <c r="I206" s="289"/>
      <c r="J206" s="289"/>
      <c r="K206" s="289"/>
      <c r="L206" s="289"/>
      <c r="M206" s="289"/>
      <c r="N206" s="289"/>
      <c r="O206" s="289"/>
      <c r="P206" s="289"/>
      <c r="Q206" s="289"/>
      <c r="R206" s="34">
        <f>R207</f>
        <v>330743.80000000005</v>
      </c>
      <c r="S206" s="53">
        <f aca="true" t="shared" si="82" ref="S206:X209">S207</f>
        <v>65012.66</v>
      </c>
      <c r="T206" s="29">
        <f t="shared" si="82"/>
        <v>80367.32</v>
      </c>
      <c r="U206" s="29">
        <f t="shared" si="82"/>
        <v>115775</v>
      </c>
      <c r="V206" s="53">
        <f t="shared" si="82"/>
        <v>69588.81999999999</v>
      </c>
      <c r="W206" s="34">
        <f t="shared" si="82"/>
        <v>238800</v>
      </c>
      <c r="X206" s="96">
        <f t="shared" si="82"/>
        <v>244500</v>
      </c>
      <c r="Y206" s="64">
        <f t="shared" si="68"/>
        <v>330743.8</v>
      </c>
      <c r="Z206" s="28">
        <f t="shared" si="69"/>
        <v>0</v>
      </c>
    </row>
    <row r="207" spans="1:26" ht="12.75">
      <c r="A207" s="186" t="s">
        <v>144</v>
      </c>
      <c r="B207" s="181"/>
      <c r="C207" s="181"/>
      <c r="D207" s="181"/>
      <c r="E207" s="181"/>
      <c r="F207" s="211"/>
      <c r="G207" s="222" t="s">
        <v>147</v>
      </c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46">
        <f>R208</f>
        <v>330743.80000000005</v>
      </c>
      <c r="S207" s="75">
        <f t="shared" si="82"/>
        <v>65012.66</v>
      </c>
      <c r="T207" s="44">
        <f t="shared" si="82"/>
        <v>80367.32</v>
      </c>
      <c r="U207" s="44">
        <f t="shared" si="82"/>
        <v>115775</v>
      </c>
      <c r="V207" s="75">
        <f t="shared" si="82"/>
        <v>69588.81999999999</v>
      </c>
      <c r="W207" s="46">
        <f t="shared" si="82"/>
        <v>238800</v>
      </c>
      <c r="X207" s="97">
        <f t="shared" si="82"/>
        <v>244500</v>
      </c>
      <c r="Y207" s="64">
        <f t="shared" si="68"/>
        <v>330743.8</v>
      </c>
      <c r="Z207" s="28">
        <f t="shared" si="69"/>
        <v>0</v>
      </c>
    </row>
    <row r="208" spans="1:26" ht="24" customHeight="1">
      <c r="A208" s="198" t="s">
        <v>145</v>
      </c>
      <c r="B208" s="199"/>
      <c r="C208" s="199"/>
      <c r="D208" s="199"/>
      <c r="E208" s="199"/>
      <c r="F208" s="73"/>
      <c r="G208" s="290" t="s">
        <v>146</v>
      </c>
      <c r="H208" s="291"/>
      <c r="I208" s="291"/>
      <c r="J208" s="291"/>
      <c r="K208" s="291"/>
      <c r="L208" s="291"/>
      <c r="M208" s="291"/>
      <c r="N208" s="291"/>
      <c r="O208" s="291"/>
      <c r="P208" s="291"/>
      <c r="Q208" s="291"/>
      <c r="R208" s="47">
        <f>R209</f>
        <v>330743.80000000005</v>
      </c>
      <c r="S208" s="77">
        <f t="shared" si="82"/>
        <v>65012.66</v>
      </c>
      <c r="T208" s="30">
        <f t="shared" si="82"/>
        <v>80367.32</v>
      </c>
      <c r="U208" s="30">
        <f t="shared" si="82"/>
        <v>115775</v>
      </c>
      <c r="V208" s="77">
        <f t="shared" si="82"/>
        <v>69588.81999999999</v>
      </c>
      <c r="W208" s="47">
        <f t="shared" si="82"/>
        <v>238800</v>
      </c>
      <c r="X208" s="98">
        <f t="shared" si="82"/>
        <v>244500</v>
      </c>
      <c r="Y208" s="64">
        <f t="shared" si="68"/>
        <v>330743.8</v>
      </c>
      <c r="Z208" s="28">
        <f t="shared" si="69"/>
        <v>0</v>
      </c>
    </row>
    <row r="209" spans="1:26" ht="24" customHeight="1">
      <c r="A209" s="192" t="s">
        <v>305</v>
      </c>
      <c r="B209" s="193"/>
      <c r="C209" s="193"/>
      <c r="D209" s="193"/>
      <c r="E209" s="193"/>
      <c r="F209" s="38"/>
      <c r="G209" s="216" t="s">
        <v>189</v>
      </c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48">
        <f>R210</f>
        <v>330743.80000000005</v>
      </c>
      <c r="S209" s="54">
        <f t="shared" si="82"/>
        <v>65012.66</v>
      </c>
      <c r="T209" s="31">
        <f t="shared" si="82"/>
        <v>80367.32</v>
      </c>
      <c r="U209" s="31">
        <f t="shared" si="82"/>
        <v>115775</v>
      </c>
      <c r="V209" s="54">
        <f t="shared" si="82"/>
        <v>69588.81999999999</v>
      </c>
      <c r="W209" s="48">
        <f t="shared" si="82"/>
        <v>238800</v>
      </c>
      <c r="X209" s="99">
        <f t="shared" si="82"/>
        <v>244500</v>
      </c>
      <c r="Y209" s="64">
        <f aca="true" t="shared" si="83" ref="Y209:Y215">SUM(S209:V209)</f>
        <v>330743.8</v>
      </c>
      <c r="Z209" s="28">
        <f aca="true" t="shared" si="84" ref="Z209:Z215">R209-S209-T209-U209-V209</f>
        <v>0</v>
      </c>
    </row>
    <row r="210" spans="1:26" s="65" customFormat="1" ht="24" customHeight="1">
      <c r="A210" s="192" t="s">
        <v>306</v>
      </c>
      <c r="B210" s="193"/>
      <c r="C210" s="193"/>
      <c r="D210" s="193"/>
      <c r="E210" s="193"/>
      <c r="F210" s="38"/>
      <c r="G210" s="216" t="s">
        <v>190</v>
      </c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48">
        <f>R211+R215</f>
        <v>330743.80000000005</v>
      </c>
      <c r="S210" s="54">
        <f aca="true" t="shared" si="85" ref="S210:X210">S211+S215</f>
        <v>65012.66</v>
      </c>
      <c r="T210" s="31">
        <f t="shared" si="85"/>
        <v>80367.32</v>
      </c>
      <c r="U210" s="31">
        <f t="shared" si="85"/>
        <v>115775</v>
      </c>
      <c r="V210" s="54">
        <f t="shared" si="85"/>
        <v>69588.81999999999</v>
      </c>
      <c r="W210" s="48">
        <f t="shared" si="85"/>
        <v>238800</v>
      </c>
      <c r="X210" s="99">
        <f t="shared" si="85"/>
        <v>244500</v>
      </c>
      <c r="Y210" s="64">
        <f t="shared" si="83"/>
        <v>330743.8</v>
      </c>
      <c r="Z210" s="28">
        <f t="shared" si="84"/>
        <v>0</v>
      </c>
    </row>
    <row r="211" spans="1:26" s="65" customFormat="1" ht="24" customHeight="1">
      <c r="A211" s="192" t="s">
        <v>309</v>
      </c>
      <c r="B211" s="193"/>
      <c r="C211" s="193"/>
      <c r="D211" s="193"/>
      <c r="E211" s="193"/>
      <c r="F211" s="38"/>
      <c r="G211" s="216" t="s">
        <v>312</v>
      </c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48">
        <f>R212+R214+R213</f>
        <v>268453.96</v>
      </c>
      <c r="S211" s="54">
        <f>S212+S214+S213</f>
        <v>45012.66</v>
      </c>
      <c r="T211" s="31">
        <f>T212+T214+T213</f>
        <v>60367.32</v>
      </c>
      <c r="U211" s="31">
        <f>U212+U214+U213</f>
        <v>95775</v>
      </c>
      <c r="V211" s="54">
        <f>V212+V214</f>
        <v>67298.98</v>
      </c>
      <c r="W211" s="48">
        <f>W212+W214</f>
        <v>158800</v>
      </c>
      <c r="X211" s="99">
        <f>X212+X214</f>
        <v>159500</v>
      </c>
      <c r="Y211" s="64">
        <f t="shared" si="83"/>
        <v>268453.96</v>
      </c>
      <c r="Z211" s="28">
        <f t="shared" si="84"/>
        <v>0</v>
      </c>
    </row>
    <row r="212" spans="1:26" ht="12.75">
      <c r="A212" s="192" t="s">
        <v>310</v>
      </c>
      <c r="B212" s="193"/>
      <c r="C212" s="193"/>
      <c r="D212" s="193"/>
      <c r="E212" s="193"/>
      <c r="F212" s="38"/>
      <c r="G212" s="216" t="s">
        <v>42</v>
      </c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49">
        <f>S212+T212+U212+V212</f>
        <v>176030.96000000002</v>
      </c>
      <c r="S212" s="85">
        <f>36575-5000+7437.66</f>
        <v>39012.66</v>
      </c>
      <c r="T212" s="86">
        <f>36575-7437.66-7410+20229.98</f>
        <v>41957.32</v>
      </c>
      <c r="U212" s="86">
        <f>36575-10000-80+60000</f>
        <v>86495</v>
      </c>
      <c r="V212" s="85">
        <f>36575-28429.98+17000-8264.71-9214.33+900</f>
        <v>8565.980000000001</v>
      </c>
      <c r="W212" s="105">
        <f>154800</f>
        <v>154800</v>
      </c>
      <c r="X212" s="102">
        <v>155500</v>
      </c>
      <c r="Y212" s="64">
        <f t="shared" si="83"/>
        <v>176030.96000000002</v>
      </c>
      <c r="Z212" s="28">
        <f>R212-S212-T212-U212-V212</f>
        <v>0</v>
      </c>
    </row>
    <row r="213" spans="1:26" ht="12.75">
      <c r="A213" s="192" t="s">
        <v>485</v>
      </c>
      <c r="B213" s="193"/>
      <c r="C213" s="193"/>
      <c r="D213" s="193"/>
      <c r="E213" s="193"/>
      <c r="F213" s="38"/>
      <c r="G213" s="216" t="s">
        <v>43</v>
      </c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49">
        <f>S213+T213+U213+V213</f>
        <v>2200</v>
      </c>
      <c r="S213" s="85"/>
      <c r="T213" s="86"/>
      <c r="U213" s="86">
        <f>2200+10560-10560</f>
        <v>2200</v>
      </c>
      <c r="V213" s="85">
        <v>0</v>
      </c>
      <c r="W213" s="105">
        <v>4000</v>
      </c>
      <c r="X213" s="102"/>
      <c r="Y213" s="64"/>
      <c r="Z213" s="28"/>
    </row>
    <row r="214" spans="1:26" ht="12.75">
      <c r="A214" s="192" t="s">
        <v>311</v>
      </c>
      <c r="B214" s="193"/>
      <c r="C214" s="193"/>
      <c r="D214" s="193"/>
      <c r="E214" s="193"/>
      <c r="F214" s="38"/>
      <c r="G214" s="216" t="s">
        <v>70</v>
      </c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49">
        <f>S214+T214+U214+V214</f>
        <v>90223</v>
      </c>
      <c r="S214" s="85">
        <f>1000+5000</f>
        <v>6000</v>
      </c>
      <c r="T214" s="86">
        <f>1000+17410</f>
        <v>18410</v>
      </c>
      <c r="U214" s="86">
        <f>1000+6000+80</f>
        <v>7080</v>
      </c>
      <c r="V214" s="85">
        <f>1000+33614+12360.09+1559+10560-360.09</f>
        <v>58733</v>
      </c>
      <c r="W214" s="105">
        <v>4000</v>
      </c>
      <c r="X214" s="102">
        <v>4000</v>
      </c>
      <c r="Y214" s="64">
        <f t="shared" si="83"/>
        <v>90223</v>
      </c>
      <c r="Z214" s="28">
        <f>R214-S214-T214-U214-V214</f>
        <v>0</v>
      </c>
    </row>
    <row r="215" spans="1:26" s="65" customFormat="1" ht="24" customHeight="1">
      <c r="A215" s="192" t="s">
        <v>307</v>
      </c>
      <c r="B215" s="193"/>
      <c r="C215" s="193"/>
      <c r="D215" s="193"/>
      <c r="E215" s="193"/>
      <c r="F215" s="38"/>
      <c r="G215" s="216" t="s">
        <v>191</v>
      </c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48">
        <f>R216</f>
        <v>62289.84</v>
      </c>
      <c r="S215" s="54">
        <f aca="true" t="shared" si="86" ref="S215:X215">S216</f>
        <v>20000</v>
      </c>
      <c r="T215" s="31">
        <f t="shared" si="86"/>
        <v>20000</v>
      </c>
      <c r="U215" s="31">
        <f t="shared" si="86"/>
        <v>20000</v>
      </c>
      <c r="V215" s="54">
        <f t="shared" si="86"/>
        <v>2289.84</v>
      </c>
      <c r="W215" s="113">
        <f t="shared" si="86"/>
        <v>80000</v>
      </c>
      <c r="X215" s="112">
        <f t="shared" si="86"/>
        <v>85000</v>
      </c>
      <c r="Y215" s="64">
        <f t="shared" si="83"/>
        <v>62289.84</v>
      </c>
      <c r="Z215" s="28">
        <f t="shared" si="84"/>
        <v>-3.637978807091713E-12</v>
      </c>
    </row>
    <row r="216" spans="1:26" ht="12.75">
      <c r="A216" s="192" t="s">
        <v>308</v>
      </c>
      <c r="B216" s="193"/>
      <c r="C216" s="193"/>
      <c r="D216" s="193"/>
      <c r="E216" s="193"/>
      <c r="F216" s="38"/>
      <c r="G216" s="216" t="s">
        <v>38</v>
      </c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49">
        <f>S216+T216+U216+V216</f>
        <v>62289.84</v>
      </c>
      <c r="S216" s="85">
        <f>20000</f>
        <v>20000</v>
      </c>
      <c r="T216" s="86">
        <f>20000</f>
        <v>20000</v>
      </c>
      <c r="U216" s="86">
        <f>20000</f>
        <v>20000</v>
      </c>
      <c r="V216" s="85">
        <f>20000-17000-710.16</f>
        <v>2289.84</v>
      </c>
      <c r="W216" s="105">
        <v>80000</v>
      </c>
      <c r="X216" s="102">
        <v>85000</v>
      </c>
      <c r="Y216" s="64">
        <f t="shared" si="68"/>
        <v>62289.84</v>
      </c>
      <c r="Z216" s="28">
        <f>R216-S216-T216-U216-V216</f>
        <v>-3.637978807091713E-12</v>
      </c>
    </row>
    <row r="217" spans="1:26" ht="14.25" customHeight="1">
      <c r="A217" s="201" t="s">
        <v>175</v>
      </c>
      <c r="B217" s="202"/>
      <c r="C217" s="202"/>
      <c r="D217" s="202"/>
      <c r="E217" s="202"/>
      <c r="F217" s="72"/>
      <c r="G217" s="288" t="s">
        <v>178</v>
      </c>
      <c r="H217" s="289"/>
      <c r="I217" s="289"/>
      <c r="J217" s="289"/>
      <c r="K217" s="289"/>
      <c r="L217" s="289"/>
      <c r="M217" s="289"/>
      <c r="N217" s="289"/>
      <c r="O217" s="289"/>
      <c r="P217" s="289"/>
      <c r="Q217" s="289"/>
      <c r="R217" s="34">
        <f aca="true" t="shared" si="87" ref="R217:X219">R218</f>
        <v>94800</v>
      </c>
      <c r="S217" s="53">
        <f t="shared" si="87"/>
        <v>0</v>
      </c>
      <c r="T217" s="29">
        <f t="shared" si="87"/>
        <v>94800</v>
      </c>
      <c r="U217" s="29">
        <f t="shared" si="87"/>
        <v>0</v>
      </c>
      <c r="V217" s="53">
        <f t="shared" si="87"/>
        <v>0</v>
      </c>
      <c r="W217" s="34">
        <f t="shared" si="87"/>
        <v>0</v>
      </c>
      <c r="X217" s="96">
        <f t="shared" si="87"/>
        <v>0</v>
      </c>
      <c r="Y217" s="64">
        <f t="shared" si="68"/>
        <v>94800</v>
      </c>
      <c r="Z217" s="28">
        <f aca="true" t="shared" si="88" ref="Z217:Z223">R217-S217-T217-U217-V217</f>
        <v>0</v>
      </c>
    </row>
    <row r="218" spans="1:26" ht="15" customHeight="1">
      <c r="A218" s="186" t="s">
        <v>176</v>
      </c>
      <c r="B218" s="181"/>
      <c r="C218" s="181"/>
      <c r="D218" s="181"/>
      <c r="E218" s="181"/>
      <c r="F218" s="211"/>
      <c r="G218" s="231" t="s">
        <v>179</v>
      </c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46">
        <f t="shared" si="87"/>
        <v>94800</v>
      </c>
      <c r="S218" s="75">
        <f t="shared" si="87"/>
        <v>0</v>
      </c>
      <c r="T218" s="44">
        <f t="shared" si="87"/>
        <v>94800</v>
      </c>
      <c r="U218" s="44">
        <f t="shared" si="87"/>
        <v>0</v>
      </c>
      <c r="V218" s="75">
        <f t="shared" si="87"/>
        <v>0</v>
      </c>
      <c r="W218" s="46">
        <f t="shared" si="87"/>
        <v>0</v>
      </c>
      <c r="X218" s="97">
        <f t="shared" si="87"/>
        <v>0</v>
      </c>
      <c r="Y218" s="64">
        <f t="shared" si="68"/>
        <v>94800</v>
      </c>
      <c r="Z218" s="28">
        <f t="shared" si="88"/>
        <v>0</v>
      </c>
    </row>
    <row r="219" spans="1:26" ht="39" customHeight="1">
      <c r="A219" s="198" t="s">
        <v>177</v>
      </c>
      <c r="B219" s="199"/>
      <c r="C219" s="199"/>
      <c r="D219" s="199"/>
      <c r="E219" s="199"/>
      <c r="F219" s="73"/>
      <c r="G219" s="290" t="s">
        <v>180</v>
      </c>
      <c r="H219" s="291"/>
      <c r="I219" s="291"/>
      <c r="J219" s="291"/>
      <c r="K219" s="291"/>
      <c r="L219" s="291"/>
      <c r="M219" s="291"/>
      <c r="N219" s="291"/>
      <c r="O219" s="291"/>
      <c r="P219" s="291"/>
      <c r="Q219" s="291"/>
      <c r="R219" s="47">
        <f t="shared" si="87"/>
        <v>94800</v>
      </c>
      <c r="S219" s="77">
        <f t="shared" si="87"/>
        <v>0</v>
      </c>
      <c r="T219" s="30">
        <f t="shared" si="87"/>
        <v>94800</v>
      </c>
      <c r="U219" s="30">
        <f t="shared" si="87"/>
        <v>0</v>
      </c>
      <c r="V219" s="77">
        <f t="shared" si="87"/>
        <v>0</v>
      </c>
      <c r="W219" s="47">
        <f t="shared" si="87"/>
        <v>0</v>
      </c>
      <c r="X219" s="98">
        <f t="shared" si="87"/>
        <v>0</v>
      </c>
      <c r="Y219" s="64">
        <f t="shared" si="68"/>
        <v>94800</v>
      </c>
      <c r="Z219" s="28">
        <f t="shared" si="88"/>
        <v>0</v>
      </c>
    </row>
    <row r="220" spans="1:26" ht="25.5" customHeight="1">
      <c r="A220" s="177" t="s">
        <v>417</v>
      </c>
      <c r="B220" s="178"/>
      <c r="C220" s="178"/>
      <c r="D220" s="178"/>
      <c r="E220" s="178"/>
      <c r="F220" s="38"/>
      <c r="G220" s="216" t="s">
        <v>189</v>
      </c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48">
        <f>S220+T220+U220+V220</f>
        <v>94800</v>
      </c>
      <c r="S220" s="54">
        <f aca="true" t="shared" si="89" ref="S220:X220">SUM(S221:S223)</f>
        <v>0</v>
      </c>
      <c r="T220" s="31">
        <f t="shared" si="89"/>
        <v>94800</v>
      </c>
      <c r="U220" s="31">
        <f t="shared" si="89"/>
        <v>0</v>
      </c>
      <c r="V220" s="54">
        <f t="shared" si="89"/>
        <v>0</v>
      </c>
      <c r="W220" s="48">
        <f t="shared" si="89"/>
        <v>0</v>
      </c>
      <c r="X220" s="99">
        <f t="shared" si="89"/>
        <v>0</v>
      </c>
      <c r="Y220" s="64">
        <f t="shared" si="68"/>
        <v>94800</v>
      </c>
      <c r="Z220" s="28">
        <f t="shared" si="88"/>
        <v>0</v>
      </c>
    </row>
    <row r="221" spans="1:26" ht="25.5" customHeight="1" hidden="1">
      <c r="A221" s="177" t="s">
        <v>418</v>
      </c>
      <c r="B221" s="178"/>
      <c r="C221" s="178"/>
      <c r="D221" s="178"/>
      <c r="E221" s="178"/>
      <c r="F221" s="38"/>
      <c r="G221" s="216" t="s">
        <v>190</v>
      </c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49">
        <f>S221+T221+U221+V221</f>
        <v>0</v>
      </c>
      <c r="S221" s="78">
        <v>0</v>
      </c>
      <c r="T221" s="32">
        <v>0</v>
      </c>
      <c r="U221" s="32">
        <v>0</v>
      </c>
      <c r="V221" s="78">
        <v>0</v>
      </c>
      <c r="W221" s="49">
        <v>0</v>
      </c>
      <c r="X221" s="101">
        <v>0</v>
      </c>
      <c r="Y221" s="64">
        <f t="shared" si="68"/>
        <v>0</v>
      </c>
      <c r="Z221" s="28">
        <f t="shared" si="88"/>
        <v>0</v>
      </c>
    </row>
    <row r="222" spans="1:26" ht="16.5" customHeight="1">
      <c r="A222" s="177" t="s">
        <v>419</v>
      </c>
      <c r="B222" s="178"/>
      <c r="C222" s="178"/>
      <c r="D222" s="178"/>
      <c r="E222" s="178"/>
      <c r="F222" s="38"/>
      <c r="G222" s="216" t="s">
        <v>42</v>
      </c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49">
        <f>S222+T222+U222+V222</f>
        <v>94800</v>
      </c>
      <c r="S222" s="78">
        <v>0</v>
      </c>
      <c r="T222" s="32">
        <f>75840+18960</f>
        <v>94800</v>
      </c>
      <c r="U222" s="32">
        <v>0</v>
      </c>
      <c r="V222" s="78">
        <v>0</v>
      </c>
      <c r="W222" s="105">
        <v>0</v>
      </c>
      <c r="X222" s="102">
        <v>0</v>
      </c>
      <c r="Y222" s="64">
        <f t="shared" si="68"/>
        <v>94800</v>
      </c>
      <c r="Z222" s="28">
        <f t="shared" si="88"/>
        <v>0</v>
      </c>
    </row>
    <row r="223" spans="1:26" ht="16.5" customHeight="1" hidden="1">
      <c r="A223" s="192" t="s">
        <v>416</v>
      </c>
      <c r="B223" s="193"/>
      <c r="C223" s="193"/>
      <c r="D223" s="193"/>
      <c r="E223" s="193"/>
      <c r="F223" s="38"/>
      <c r="G223" s="216" t="s">
        <v>70</v>
      </c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49">
        <f>S223+T223+U223+V223</f>
        <v>0</v>
      </c>
      <c r="S223" s="85">
        <v>0</v>
      </c>
      <c r="T223" s="86">
        <v>0</v>
      </c>
      <c r="U223" s="86">
        <v>0</v>
      </c>
      <c r="V223" s="85">
        <v>0</v>
      </c>
      <c r="W223" s="105">
        <v>0</v>
      </c>
      <c r="X223" s="102">
        <v>0</v>
      </c>
      <c r="Y223" s="64">
        <f t="shared" si="68"/>
        <v>0</v>
      </c>
      <c r="Z223" s="28">
        <f t="shared" si="88"/>
        <v>0</v>
      </c>
    </row>
    <row r="224" spans="1:26" s="4" customFormat="1" ht="12.75">
      <c r="A224" s="201" t="s">
        <v>121</v>
      </c>
      <c r="B224" s="202"/>
      <c r="C224" s="202"/>
      <c r="D224" s="202"/>
      <c r="E224" s="202"/>
      <c r="F224" s="185"/>
      <c r="G224" s="182" t="s">
        <v>49</v>
      </c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34">
        <f>R225+R248+R257</f>
        <v>3329579.07</v>
      </c>
      <c r="S224" s="53">
        <f aca="true" t="shared" si="90" ref="S224:X224">S225+S248</f>
        <v>91040.44</v>
      </c>
      <c r="T224" s="29">
        <f t="shared" si="90"/>
        <v>1264826.33</v>
      </c>
      <c r="U224" s="29">
        <f>U225+U248+U257</f>
        <v>1646165.98</v>
      </c>
      <c r="V224" s="53">
        <f t="shared" si="90"/>
        <v>176913.71000000002</v>
      </c>
      <c r="W224" s="34">
        <f t="shared" si="90"/>
        <v>362800</v>
      </c>
      <c r="X224" s="96">
        <f t="shared" si="90"/>
        <v>371500</v>
      </c>
      <c r="Y224" s="64">
        <f t="shared" si="68"/>
        <v>3178946.46</v>
      </c>
      <c r="Z224" s="28">
        <f>R224-S224-T224-U224-V224</f>
        <v>150632.6099999998</v>
      </c>
    </row>
    <row r="225" spans="1:26" s="3" customFormat="1" ht="12.75">
      <c r="A225" s="186" t="s">
        <v>314</v>
      </c>
      <c r="B225" s="181"/>
      <c r="C225" s="181"/>
      <c r="D225" s="181"/>
      <c r="E225" s="181"/>
      <c r="F225" s="211"/>
      <c r="G225" s="184" t="s">
        <v>313</v>
      </c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46">
        <f>R226+R234</f>
        <v>969956.46</v>
      </c>
      <c r="S225" s="149">
        <f aca="true" t="shared" si="91" ref="S225:X225">S226+S234</f>
        <v>91040.44</v>
      </c>
      <c r="T225" s="44">
        <f t="shared" si="91"/>
        <v>121226.33</v>
      </c>
      <c r="U225" s="44">
        <f t="shared" si="91"/>
        <v>580775.98</v>
      </c>
      <c r="V225" s="75">
        <f t="shared" si="91"/>
        <v>176913.71000000002</v>
      </c>
      <c r="W225" s="46">
        <f t="shared" si="91"/>
        <v>362800</v>
      </c>
      <c r="X225" s="97">
        <f t="shared" si="91"/>
        <v>371500</v>
      </c>
      <c r="Y225" s="64">
        <f t="shared" si="68"/>
        <v>969956.46</v>
      </c>
      <c r="Z225" s="28">
        <f>R225-S225-T225-U225-V225</f>
        <v>0</v>
      </c>
    </row>
    <row r="226" spans="1:26" s="3" customFormat="1" ht="27.75" customHeight="1">
      <c r="A226" s="198" t="s">
        <v>458</v>
      </c>
      <c r="B226" s="199"/>
      <c r="C226" s="199"/>
      <c r="D226" s="199"/>
      <c r="E226" s="199"/>
      <c r="F226" s="200"/>
      <c r="G226" s="220" t="s">
        <v>462</v>
      </c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158">
        <f>R231+R227</f>
        <v>598703.13</v>
      </c>
      <c r="S226" s="30">
        <f aca="true" t="shared" si="92" ref="S226:X226">S227+S231</f>
        <v>8059.44</v>
      </c>
      <c r="T226" s="30">
        <f t="shared" si="92"/>
        <v>0</v>
      </c>
      <c r="U226" s="30">
        <f t="shared" si="92"/>
        <v>500054.31</v>
      </c>
      <c r="V226" s="150">
        <f t="shared" si="92"/>
        <v>90589.38</v>
      </c>
      <c r="W226" s="47">
        <f t="shared" si="92"/>
        <v>0</v>
      </c>
      <c r="X226" s="98">
        <f t="shared" si="92"/>
        <v>0</v>
      </c>
      <c r="Y226" s="64">
        <f>SUM(S226:V226)</f>
        <v>598703.13</v>
      </c>
      <c r="Z226" s="28">
        <f>R226-S226-T226-U226-V226</f>
        <v>0</v>
      </c>
    </row>
    <row r="227" spans="1:26" s="3" customFormat="1" ht="27.75" customHeight="1">
      <c r="A227" s="192" t="s">
        <v>497</v>
      </c>
      <c r="B227" s="193"/>
      <c r="C227" s="193"/>
      <c r="D227" s="193"/>
      <c r="E227" s="193"/>
      <c r="F227" s="38"/>
      <c r="G227" s="216" t="s">
        <v>189</v>
      </c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48">
        <f>R228</f>
        <v>500054.31</v>
      </c>
      <c r="S227" s="54">
        <f aca="true" t="shared" si="93" ref="S227:X227">S228</f>
        <v>0</v>
      </c>
      <c r="T227" s="31">
        <f t="shared" si="93"/>
        <v>0</v>
      </c>
      <c r="U227" s="31">
        <f t="shared" si="93"/>
        <v>500054.31</v>
      </c>
      <c r="V227" s="167">
        <f t="shared" si="93"/>
        <v>0</v>
      </c>
      <c r="W227" s="48">
        <f t="shared" si="93"/>
        <v>0</v>
      </c>
      <c r="X227" s="99">
        <f t="shared" si="93"/>
        <v>0</v>
      </c>
      <c r="Y227" s="64"/>
      <c r="Z227" s="28"/>
    </row>
    <row r="228" spans="1:26" s="3" customFormat="1" ht="27.75" customHeight="1">
      <c r="A228" s="192" t="s">
        <v>498</v>
      </c>
      <c r="B228" s="193"/>
      <c r="C228" s="193"/>
      <c r="D228" s="193"/>
      <c r="E228" s="193"/>
      <c r="F228" s="38"/>
      <c r="G228" s="216" t="s">
        <v>190</v>
      </c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48">
        <f>R229+R230</f>
        <v>500054.31</v>
      </c>
      <c r="S228" s="151">
        <f aca="true" t="shared" si="94" ref="S228:X228">S229+S230</f>
        <v>0</v>
      </c>
      <c r="T228" s="31">
        <f t="shared" si="94"/>
        <v>0</v>
      </c>
      <c r="U228" s="31">
        <f t="shared" si="94"/>
        <v>500054.31</v>
      </c>
      <c r="V228" s="99">
        <f t="shared" si="94"/>
        <v>0</v>
      </c>
      <c r="W228" s="48">
        <f t="shared" si="94"/>
        <v>0</v>
      </c>
      <c r="X228" s="48">
        <f t="shared" si="94"/>
        <v>0</v>
      </c>
      <c r="Y228" s="64"/>
      <c r="Z228" s="28"/>
    </row>
    <row r="229" spans="1:26" s="3" customFormat="1" ht="12.75">
      <c r="A229" s="192" t="s">
        <v>499</v>
      </c>
      <c r="B229" s="193"/>
      <c r="C229" s="193"/>
      <c r="D229" s="193"/>
      <c r="E229" s="193"/>
      <c r="F229" s="194"/>
      <c r="G229" s="216" t="s">
        <v>41</v>
      </c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49">
        <f>SUM(S229:V229)</f>
        <v>472894.79</v>
      </c>
      <c r="S229" s="85">
        <v>0</v>
      </c>
      <c r="T229" s="86">
        <v>0</v>
      </c>
      <c r="U229" s="86">
        <f>100000+556135-60712-39288-1526.74-25632.78-56080.69</f>
        <v>472894.79</v>
      </c>
      <c r="V229" s="166">
        <v>0</v>
      </c>
      <c r="W229" s="105">
        <v>0</v>
      </c>
      <c r="X229" s="102">
        <v>0</v>
      </c>
      <c r="Y229" s="64"/>
      <c r="Z229" s="28"/>
    </row>
    <row r="230" spans="1:26" s="3" customFormat="1" ht="12.75">
      <c r="A230" s="192" t="s">
        <v>532</v>
      </c>
      <c r="B230" s="193"/>
      <c r="C230" s="193"/>
      <c r="D230" s="193"/>
      <c r="E230" s="193"/>
      <c r="F230" s="194"/>
      <c r="G230" s="216" t="s">
        <v>42</v>
      </c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49">
        <f>SUM(S230:V230)</f>
        <v>27159.52</v>
      </c>
      <c r="S230" s="85">
        <v>0</v>
      </c>
      <c r="T230" s="86">
        <v>0</v>
      </c>
      <c r="U230" s="86">
        <f>1526.74+25632.78</f>
        <v>27159.52</v>
      </c>
      <c r="V230" s="166">
        <v>0</v>
      </c>
      <c r="W230" s="105">
        <v>0</v>
      </c>
      <c r="X230" s="102">
        <v>0</v>
      </c>
      <c r="Y230" s="64"/>
      <c r="Z230" s="28"/>
    </row>
    <row r="231" spans="1:26" ht="12.75" customHeight="1">
      <c r="A231" s="192" t="s">
        <v>459</v>
      </c>
      <c r="B231" s="193"/>
      <c r="C231" s="193"/>
      <c r="D231" s="193"/>
      <c r="E231" s="193"/>
      <c r="F231" s="38"/>
      <c r="G231" s="216" t="s">
        <v>238</v>
      </c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48">
        <f>R232</f>
        <v>98648.82</v>
      </c>
      <c r="S231" s="54">
        <f aca="true" t="shared" si="95" ref="S231:X231">S232</f>
        <v>8059.44</v>
      </c>
      <c r="T231" s="31">
        <f t="shared" si="95"/>
        <v>0</v>
      </c>
      <c r="U231" s="31">
        <f t="shared" si="95"/>
        <v>0</v>
      </c>
      <c r="V231" s="54">
        <f t="shared" si="95"/>
        <v>90589.38</v>
      </c>
      <c r="W231" s="48">
        <f t="shared" si="95"/>
        <v>0</v>
      </c>
      <c r="X231" s="99">
        <f t="shared" si="95"/>
        <v>0</v>
      </c>
      <c r="Y231" s="64">
        <f>SUM(S231:V231)</f>
        <v>98648.82</v>
      </c>
      <c r="Z231" s="28">
        <f aca="true" t="shared" si="96" ref="Z231:Z247">R231-S231-T231-U231-V231</f>
        <v>0</v>
      </c>
    </row>
    <row r="232" spans="1:26" s="65" customFormat="1" ht="27.75" customHeight="1">
      <c r="A232" s="192" t="s">
        <v>460</v>
      </c>
      <c r="B232" s="193"/>
      <c r="C232" s="193"/>
      <c r="D232" s="193"/>
      <c r="E232" s="193"/>
      <c r="F232" s="38"/>
      <c r="G232" s="216" t="s">
        <v>450</v>
      </c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48">
        <f>R233</f>
        <v>98648.82</v>
      </c>
      <c r="S232" s="54">
        <f aca="true" t="shared" si="97" ref="S232:X232">S233</f>
        <v>8059.44</v>
      </c>
      <c r="T232" s="31">
        <f t="shared" si="97"/>
        <v>0</v>
      </c>
      <c r="U232" s="31">
        <f t="shared" si="97"/>
        <v>0</v>
      </c>
      <c r="V232" s="54">
        <f t="shared" si="97"/>
        <v>90589.38</v>
      </c>
      <c r="W232" s="48">
        <f t="shared" si="97"/>
        <v>0</v>
      </c>
      <c r="X232" s="99">
        <f t="shared" si="97"/>
        <v>0</v>
      </c>
      <c r="Y232" s="64">
        <f>SUM(S232:V232)</f>
        <v>98648.82</v>
      </c>
      <c r="Z232" s="28">
        <f t="shared" si="96"/>
        <v>0</v>
      </c>
    </row>
    <row r="233" spans="1:26" ht="27" customHeight="1">
      <c r="A233" s="192" t="s">
        <v>461</v>
      </c>
      <c r="B233" s="193"/>
      <c r="C233" s="193"/>
      <c r="D233" s="193"/>
      <c r="E233" s="193"/>
      <c r="F233" s="194"/>
      <c r="G233" s="233" t="s">
        <v>96</v>
      </c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49">
        <f>SUM(S233:V233)</f>
        <v>98648.82</v>
      </c>
      <c r="S233" s="85">
        <f>100000-87816-4124.56</f>
        <v>8059.44</v>
      </c>
      <c r="T233" s="86">
        <f>700000-20902-100000-1000-49600-15154-6572-320000-186772</f>
        <v>0</v>
      </c>
      <c r="U233" s="86">
        <v>0</v>
      </c>
      <c r="V233" s="85">
        <f>100000-60000-40000+42568.13-8059.44+56080.69</f>
        <v>90589.38</v>
      </c>
      <c r="W233" s="105">
        <v>0</v>
      </c>
      <c r="X233" s="102">
        <v>0</v>
      </c>
      <c r="Y233" s="64">
        <f>SUM(S233:V233)</f>
        <v>98648.82</v>
      </c>
      <c r="Z233" s="28">
        <f t="shared" si="96"/>
        <v>0</v>
      </c>
    </row>
    <row r="234" spans="1:26" s="3" customFormat="1" ht="13.5" customHeight="1">
      <c r="A234" s="198" t="s">
        <v>122</v>
      </c>
      <c r="B234" s="199"/>
      <c r="C234" s="199"/>
      <c r="D234" s="199"/>
      <c r="E234" s="199"/>
      <c r="F234" s="200"/>
      <c r="G234" s="220" t="s">
        <v>89</v>
      </c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47">
        <f>R235</f>
        <v>371253.33</v>
      </c>
      <c r="S234" s="77">
        <f aca="true" t="shared" si="98" ref="S234:X236">S235</f>
        <v>82981</v>
      </c>
      <c r="T234" s="30">
        <f t="shared" si="98"/>
        <v>121226.33</v>
      </c>
      <c r="U234" s="30">
        <f t="shared" si="98"/>
        <v>80721.67</v>
      </c>
      <c r="V234" s="77">
        <f t="shared" si="98"/>
        <v>86324.33</v>
      </c>
      <c r="W234" s="47">
        <f t="shared" si="98"/>
        <v>362800</v>
      </c>
      <c r="X234" s="98">
        <f t="shared" si="98"/>
        <v>371500</v>
      </c>
      <c r="Y234" s="64">
        <f t="shared" si="68"/>
        <v>371253.33</v>
      </c>
      <c r="Z234" s="28">
        <f t="shared" si="96"/>
        <v>0</v>
      </c>
    </row>
    <row r="235" spans="1:26" ht="24" customHeight="1">
      <c r="A235" s="192" t="s">
        <v>315</v>
      </c>
      <c r="B235" s="193"/>
      <c r="C235" s="193"/>
      <c r="D235" s="193"/>
      <c r="E235" s="193"/>
      <c r="F235" s="38"/>
      <c r="G235" s="216" t="s">
        <v>189</v>
      </c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48">
        <f>R236</f>
        <v>371253.33</v>
      </c>
      <c r="S235" s="54">
        <f t="shared" si="98"/>
        <v>82981</v>
      </c>
      <c r="T235" s="31">
        <f t="shared" si="98"/>
        <v>121226.33</v>
      </c>
      <c r="U235" s="31">
        <f t="shared" si="98"/>
        <v>80721.67</v>
      </c>
      <c r="V235" s="54">
        <f t="shared" si="98"/>
        <v>86324.33</v>
      </c>
      <c r="W235" s="48">
        <f t="shared" si="98"/>
        <v>362800</v>
      </c>
      <c r="X235" s="99">
        <f t="shared" si="98"/>
        <v>371500</v>
      </c>
      <c r="Y235" s="64">
        <f aca="true" t="shared" si="99" ref="Y235:Y346">SUM(S235:V235)</f>
        <v>371253.33</v>
      </c>
      <c r="Z235" s="28">
        <f t="shared" si="96"/>
        <v>0</v>
      </c>
    </row>
    <row r="236" spans="1:26" s="65" customFormat="1" ht="24" customHeight="1">
      <c r="A236" s="192" t="s">
        <v>316</v>
      </c>
      <c r="B236" s="193"/>
      <c r="C236" s="193"/>
      <c r="D236" s="193"/>
      <c r="E236" s="193"/>
      <c r="F236" s="38"/>
      <c r="G236" s="216" t="s">
        <v>190</v>
      </c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48">
        <f>R237</f>
        <v>371253.33</v>
      </c>
      <c r="S236" s="54">
        <f t="shared" si="98"/>
        <v>82981</v>
      </c>
      <c r="T236" s="31">
        <f t="shared" si="98"/>
        <v>121226.33</v>
      </c>
      <c r="U236" s="31">
        <f t="shared" si="98"/>
        <v>80721.67</v>
      </c>
      <c r="V236" s="54">
        <f t="shared" si="98"/>
        <v>86324.33</v>
      </c>
      <c r="W236" s="48">
        <f t="shared" si="98"/>
        <v>362800</v>
      </c>
      <c r="X236" s="99">
        <f t="shared" si="98"/>
        <v>371500</v>
      </c>
      <c r="Y236" s="64">
        <f t="shared" si="99"/>
        <v>371253.33</v>
      </c>
      <c r="Z236" s="28">
        <f t="shared" si="96"/>
        <v>0</v>
      </c>
    </row>
    <row r="237" spans="1:26" s="65" customFormat="1" ht="24" customHeight="1">
      <c r="A237" s="192" t="s">
        <v>317</v>
      </c>
      <c r="B237" s="193"/>
      <c r="C237" s="193"/>
      <c r="D237" s="193"/>
      <c r="E237" s="193"/>
      <c r="F237" s="38"/>
      <c r="G237" s="216" t="s">
        <v>191</v>
      </c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48">
        <f>SUM(R238:R242)</f>
        <v>371253.33</v>
      </c>
      <c r="S237" s="54">
        <f aca="true" t="shared" si="100" ref="S237:X237">SUM(S238:S242)</f>
        <v>82981</v>
      </c>
      <c r="T237" s="31">
        <f t="shared" si="100"/>
        <v>121226.33</v>
      </c>
      <c r="U237" s="31">
        <f t="shared" si="100"/>
        <v>80721.67</v>
      </c>
      <c r="V237" s="54">
        <f t="shared" si="100"/>
        <v>86324.33</v>
      </c>
      <c r="W237" s="113">
        <f t="shared" si="100"/>
        <v>362800</v>
      </c>
      <c r="X237" s="112">
        <f t="shared" si="100"/>
        <v>371500</v>
      </c>
      <c r="Y237" s="64">
        <f t="shared" si="99"/>
        <v>371253.33</v>
      </c>
      <c r="Z237" s="28">
        <f t="shared" si="96"/>
        <v>0</v>
      </c>
    </row>
    <row r="238" spans="1:26" ht="12.75">
      <c r="A238" s="192" t="s">
        <v>318</v>
      </c>
      <c r="B238" s="193"/>
      <c r="C238" s="193"/>
      <c r="D238" s="193"/>
      <c r="E238" s="193"/>
      <c r="F238" s="194"/>
      <c r="G238" s="216" t="s">
        <v>41</v>
      </c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49">
        <f>SUM(S238:V238)</f>
        <v>119506</v>
      </c>
      <c r="S238" s="85">
        <f>47475-11560</f>
        <v>35915</v>
      </c>
      <c r="T238" s="86">
        <f>47475</f>
        <v>47475</v>
      </c>
      <c r="U238" s="86">
        <f>47475-47475+24975-1389</f>
        <v>23586</v>
      </c>
      <c r="V238" s="85">
        <f>47475-22500-24975+34250-21720</f>
        <v>12530</v>
      </c>
      <c r="W238" s="105">
        <v>202800</v>
      </c>
      <c r="X238" s="102">
        <v>211500</v>
      </c>
      <c r="Y238" s="64">
        <f t="shared" si="99"/>
        <v>119506</v>
      </c>
      <c r="Z238" s="28">
        <f t="shared" si="96"/>
        <v>0</v>
      </c>
    </row>
    <row r="239" spans="1:26" ht="12.75">
      <c r="A239" s="192" t="s">
        <v>319</v>
      </c>
      <c r="B239" s="193"/>
      <c r="C239" s="193"/>
      <c r="D239" s="193"/>
      <c r="E239" s="193"/>
      <c r="F239" s="194"/>
      <c r="G239" s="216" t="s">
        <v>42</v>
      </c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49">
        <f>SUM(S239:V239)</f>
        <v>240509.33000000002</v>
      </c>
      <c r="S239" s="85">
        <f>32500+11560</f>
        <v>44060</v>
      </c>
      <c r="T239" s="86">
        <f>32500+25000+15239.33</f>
        <v>72739.33</v>
      </c>
      <c r="U239" s="86">
        <f>32500-25000+4030+34875-10000+17260.67</f>
        <v>53665.67</v>
      </c>
      <c r="V239" s="85">
        <f>32500-15239.33-4889.67+60000-2761.67+435</f>
        <v>70044.33</v>
      </c>
      <c r="W239" s="105">
        <v>130000</v>
      </c>
      <c r="X239" s="102">
        <v>130000</v>
      </c>
      <c r="Y239" s="64">
        <f t="shared" si="99"/>
        <v>240509.33000000002</v>
      </c>
      <c r="Z239" s="28">
        <f t="shared" si="96"/>
        <v>0</v>
      </c>
    </row>
    <row r="240" spans="1:26" ht="12.75" hidden="1">
      <c r="A240" s="192" t="s">
        <v>320</v>
      </c>
      <c r="B240" s="193"/>
      <c r="C240" s="193"/>
      <c r="D240" s="193"/>
      <c r="E240" s="193"/>
      <c r="F240" s="194"/>
      <c r="G240" s="216" t="s">
        <v>71</v>
      </c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49">
        <f>SUM(S240:V240)</f>
        <v>0</v>
      </c>
      <c r="S240" s="85">
        <v>0</v>
      </c>
      <c r="T240" s="86">
        <v>0</v>
      </c>
      <c r="U240" s="86">
        <v>0</v>
      </c>
      <c r="V240" s="85">
        <v>0</v>
      </c>
      <c r="W240" s="105">
        <v>0</v>
      </c>
      <c r="X240" s="102">
        <v>0</v>
      </c>
      <c r="Y240" s="64">
        <f t="shared" si="99"/>
        <v>0</v>
      </c>
      <c r="Z240" s="28">
        <f t="shared" si="96"/>
        <v>0</v>
      </c>
    </row>
    <row r="241" spans="1:26" ht="12.75" hidden="1">
      <c r="A241" s="192" t="s">
        <v>321</v>
      </c>
      <c r="B241" s="193"/>
      <c r="C241" s="193"/>
      <c r="D241" s="193"/>
      <c r="E241" s="193"/>
      <c r="F241" s="194"/>
      <c r="G241" s="216" t="s">
        <v>43</v>
      </c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49">
        <f>SUM(S241:V241)</f>
        <v>0</v>
      </c>
      <c r="S241" s="85">
        <v>0</v>
      </c>
      <c r="T241" s="86">
        <v>0</v>
      </c>
      <c r="U241" s="86">
        <v>0</v>
      </c>
      <c r="V241" s="85">
        <v>0</v>
      </c>
      <c r="W241" s="105">
        <v>0</v>
      </c>
      <c r="X241" s="102">
        <v>0</v>
      </c>
      <c r="Y241" s="64">
        <f t="shared" si="99"/>
        <v>0</v>
      </c>
      <c r="Z241" s="28">
        <f t="shared" si="96"/>
        <v>0</v>
      </c>
    </row>
    <row r="242" spans="1:26" ht="19.5" customHeight="1">
      <c r="A242" s="192" t="s">
        <v>322</v>
      </c>
      <c r="B242" s="193"/>
      <c r="C242" s="193"/>
      <c r="D242" s="193"/>
      <c r="E242" s="193"/>
      <c r="F242" s="194"/>
      <c r="G242" s="224" t="s">
        <v>70</v>
      </c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49">
        <f>SUM(S242:V242)</f>
        <v>11238</v>
      </c>
      <c r="S242" s="85">
        <f>7500-4494</f>
        <v>3006</v>
      </c>
      <c r="T242" s="86">
        <f>7500-6488</f>
        <v>1012</v>
      </c>
      <c r="U242" s="86">
        <f>7500-4030</f>
        <v>3470</v>
      </c>
      <c r="V242" s="85">
        <f>7500-7500+3750</f>
        <v>3750</v>
      </c>
      <c r="W242" s="105">
        <v>30000</v>
      </c>
      <c r="X242" s="102">
        <v>30000</v>
      </c>
      <c r="Y242" s="64">
        <f t="shared" si="99"/>
        <v>11238</v>
      </c>
      <c r="Z242" s="28">
        <f t="shared" si="96"/>
        <v>0</v>
      </c>
    </row>
    <row r="243" spans="1:26" s="4" customFormat="1" ht="15.75" customHeight="1" hidden="1">
      <c r="A243" s="201" t="s">
        <v>123</v>
      </c>
      <c r="B243" s="202"/>
      <c r="C243" s="202"/>
      <c r="D243" s="202"/>
      <c r="E243" s="202"/>
      <c r="F243" s="185"/>
      <c r="G243" s="182" t="s">
        <v>92</v>
      </c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34">
        <f>R244</f>
        <v>0</v>
      </c>
      <c r="S243" s="53">
        <f aca="true" t="shared" si="101" ref="S243:X243">S244</f>
        <v>0</v>
      </c>
      <c r="T243" s="29">
        <f t="shared" si="101"/>
        <v>0</v>
      </c>
      <c r="U243" s="29">
        <f t="shared" si="101"/>
        <v>0</v>
      </c>
      <c r="V243" s="53">
        <f t="shared" si="101"/>
        <v>0</v>
      </c>
      <c r="W243" s="123">
        <f t="shared" si="101"/>
        <v>0</v>
      </c>
      <c r="X243" s="126">
        <f t="shared" si="101"/>
        <v>0</v>
      </c>
      <c r="Y243" s="64">
        <f t="shared" si="99"/>
        <v>0</v>
      </c>
      <c r="Z243" s="28">
        <f t="shared" si="96"/>
        <v>0</v>
      </c>
    </row>
    <row r="244" spans="1:26" s="3" customFormat="1" ht="15.75" customHeight="1" hidden="1">
      <c r="A244" s="186" t="s">
        <v>124</v>
      </c>
      <c r="B244" s="181"/>
      <c r="C244" s="181"/>
      <c r="D244" s="181"/>
      <c r="E244" s="181"/>
      <c r="F244" s="211"/>
      <c r="G244" s="184" t="s">
        <v>97</v>
      </c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46">
        <f>R245</f>
        <v>0</v>
      </c>
      <c r="S244" s="75">
        <f aca="true" t="shared" si="102" ref="S244:X245">S245</f>
        <v>0</v>
      </c>
      <c r="T244" s="44">
        <f t="shared" si="102"/>
        <v>0</v>
      </c>
      <c r="U244" s="44">
        <f t="shared" si="102"/>
        <v>0</v>
      </c>
      <c r="V244" s="75">
        <f t="shared" si="102"/>
        <v>0</v>
      </c>
      <c r="W244" s="124">
        <f t="shared" si="102"/>
        <v>0</v>
      </c>
      <c r="X244" s="127">
        <f t="shared" si="102"/>
        <v>0</v>
      </c>
      <c r="Y244" s="64">
        <f t="shared" si="99"/>
        <v>0</v>
      </c>
      <c r="Z244" s="28">
        <f t="shared" si="96"/>
        <v>0</v>
      </c>
    </row>
    <row r="245" spans="1:26" s="3" customFormat="1" ht="13.5" customHeight="1" hidden="1">
      <c r="A245" s="198" t="s">
        <v>125</v>
      </c>
      <c r="B245" s="199"/>
      <c r="C245" s="199"/>
      <c r="D245" s="199"/>
      <c r="E245" s="199"/>
      <c r="F245" s="200"/>
      <c r="G245" s="220" t="s">
        <v>93</v>
      </c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47">
        <f>R246</f>
        <v>0</v>
      </c>
      <c r="S245" s="77">
        <f t="shared" si="102"/>
        <v>0</v>
      </c>
      <c r="T245" s="30">
        <f t="shared" si="102"/>
        <v>0</v>
      </c>
      <c r="U245" s="30">
        <f t="shared" si="102"/>
        <v>0</v>
      </c>
      <c r="V245" s="77">
        <f t="shared" si="102"/>
        <v>0</v>
      </c>
      <c r="W245" s="125">
        <f t="shared" si="102"/>
        <v>0</v>
      </c>
      <c r="X245" s="128">
        <f t="shared" si="102"/>
        <v>0</v>
      </c>
      <c r="Y245" s="64">
        <f t="shared" si="99"/>
        <v>0</v>
      </c>
      <c r="Z245" s="28">
        <f t="shared" si="96"/>
        <v>0</v>
      </c>
    </row>
    <row r="246" spans="1:26" ht="15" customHeight="1" hidden="1">
      <c r="A246" s="192" t="s">
        <v>323</v>
      </c>
      <c r="B246" s="193"/>
      <c r="C246" s="193"/>
      <c r="D246" s="193"/>
      <c r="E246" s="193"/>
      <c r="F246" s="194"/>
      <c r="G246" s="216" t="s">
        <v>94</v>
      </c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48">
        <f aca="true" t="shared" si="103" ref="R246:X246">SUM(R247:R247)</f>
        <v>0</v>
      </c>
      <c r="S246" s="54">
        <f t="shared" si="103"/>
        <v>0</v>
      </c>
      <c r="T246" s="31">
        <f t="shared" si="103"/>
        <v>0</v>
      </c>
      <c r="U246" s="31">
        <f t="shared" si="103"/>
        <v>0</v>
      </c>
      <c r="V246" s="54">
        <f t="shared" si="103"/>
        <v>0</v>
      </c>
      <c r="W246" s="113">
        <f t="shared" si="103"/>
        <v>0</v>
      </c>
      <c r="X246" s="112">
        <f t="shared" si="103"/>
        <v>0</v>
      </c>
      <c r="Y246" s="64">
        <f t="shared" si="99"/>
        <v>0</v>
      </c>
      <c r="Z246" s="28">
        <f t="shared" si="96"/>
        <v>0</v>
      </c>
    </row>
    <row r="247" spans="1:26" ht="24.75" customHeight="1" hidden="1">
      <c r="A247" s="192" t="s">
        <v>324</v>
      </c>
      <c r="B247" s="193"/>
      <c r="C247" s="193"/>
      <c r="D247" s="193"/>
      <c r="E247" s="193"/>
      <c r="F247" s="194"/>
      <c r="G247" s="216" t="s">
        <v>96</v>
      </c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49">
        <f>SUM(S247:V247)</f>
        <v>0</v>
      </c>
      <c r="S247" s="78"/>
      <c r="T247" s="32"/>
      <c r="U247" s="32"/>
      <c r="V247" s="78"/>
      <c r="W247" s="105">
        <v>0</v>
      </c>
      <c r="X247" s="102">
        <v>0</v>
      </c>
      <c r="Y247" s="64">
        <f t="shared" si="99"/>
        <v>0</v>
      </c>
      <c r="Z247" s="28">
        <f t="shared" si="96"/>
        <v>0</v>
      </c>
    </row>
    <row r="248" spans="1:26" s="3" customFormat="1" ht="12.75">
      <c r="A248" s="186" t="s">
        <v>384</v>
      </c>
      <c r="B248" s="181"/>
      <c r="C248" s="181"/>
      <c r="D248" s="181"/>
      <c r="E248" s="181"/>
      <c r="F248" s="211"/>
      <c r="G248" s="184" t="s">
        <v>179</v>
      </c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46">
        <f>R249</f>
        <v>2088800</v>
      </c>
      <c r="S248" s="75">
        <f aca="true" t="shared" si="104" ref="S248:X252">S249</f>
        <v>0</v>
      </c>
      <c r="T248" s="44">
        <f t="shared" si="104"/>
        <v>1143600</v>
      </c>
      <c r="U248" s="44">
        <f t="shared" si="104"/>
        <v>945200</v>
      </c>
      <c r="V248" s="75">
        <f t="shared" si="104"/>
        <v>0</v>
      </c>
      <c r="W248" s="46">
        <f t="shared" si="104"/>
        <v>0</v>
      </c>
      <c r="X248" s="97">
        <f t="shared" si="104"/>
        <v>0</v>
      </c>
      <c r="Y248" s="64">
        <f t="shared" si="99"/>
        <v>2088800</v>
      </c>
      <c r="Z248" s="28">
        <f aca="true" t="shared" si="105" ref="Z248:Z253">R248-S248-T248-U248-V248</f>
        <v>0</v>
      </c>
    </row>
    <row r="249" spans="1:26" s="3" customFormat="1" ht="13.5" customHeight="1">
      <c r="A249" s="198" t="s">
        <v>385</v>
      </c>
      <c r="B249" s="199"/>
      <c r="C249" s="199"/>
      <c r="D249" s="199"/>
      <c r="E249" s="199"/>
      <c r="F249" s="200"/>
      <c r="G249" s="220" t="s">
        <v>386</v>
      </c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165">
        <f>R250+R254</f>
        <v>2088800</v>
      </c>
      <c r="S249" s="30">
        <f aca="true" t="shared" si="106" ref="S249:X249">S250+S254</f>
        <v>0</v>
      </c>
      <c r="T249" s="30">
        <f t="shared" si="106"/>
        <v>1143600</v>
      </c>
      <c r="U249" s="30">
        <f t="shared" si="106"/>
        <v>945200</v>
      </c>
      <c r="V249" s="150">
        <f t="shared" si="106"/>
        <v>0</v>
      </c>
      <c r="W249" s="47">
        <f t="shared" si="106"/>
        <v>0</v>
      </c>
      <c r="X249" s="98">
        <f t="shared" si="106"/>
        <v>0</v>
      </c>
      <c r="Y249" s="64">
        <f t="shared" si="99"/>
        <v>2088800</v>
      </c>
      <c r="Z249" s="28">
        <f t="shared" si="105"/>
        <v>0</v>
      </c>
    </row>
    <row r="250" spans="1:26" ht="24" customHeight="1" hidden="1">
      <c r="A250" s="192" t="s">
        <v>387</v>
      </c>
      <c r="B250" s="193"/>
      <c r="C250" s="193"/>
      <c r="D250" s="193"/>
      <c r="E250" s="193"/>
      <c r="F250" s="38"/>
      <c r="G250" s="216" t="s">
        <v>189</v>
      </c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48">
        <f>R251</f>
        <v>0</v>
      </c>
      <c r="S250" s="54">
        <f t="shared" si="104"/>
        <v>0</v>
      </c>
      <c r="T250" s="31">
        <f t="shared" si="104"/>
        <v>0</v>
      </c>
      <c r="U250" s="31">
        <f t="shared" si="104"/>
        <v>0</v>
      </c>
      <c r="V250" s="54">
        <f t="shared" si="104"/>
        <v>0</v>
      </c>
      <c r="W250" s="48">
        <f t="shared" si="104"/>
        <v>0</v>
      </c>
      <c r="X250" s="99">
        <f t="shared" si="104"/>
        <v>0</v>
      </c>
      <c r="Y250" s="64">
        <f aca="true" t="shared" si="107" ref="Y250:Y255">SUM(S250:V250)</f>
        <v>0</v>
      </c>
      <c r="Z250" s="28">
        <f t="shared" si="105"/>
        <v>0</v>
      </c>
    </row>
    <row r="251" spans="1:26" s="65" customFormat="1" ht="24" customHeight="1" hidden="1">
      <c r="A251" s="192" t="s">
        <v>388</v>
      </c>
      <c r="B251" s="193"/>
      <c r="C251" s="193"/>
      <c r="D251" s="193"/>
      <c r="E251" s="193"/>
      <c r="F251" s="38"/>
      <c r="G251" s="216" t="s">
        <v>190</v>
      </c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48">
        <f>R252</f>
        <v>0</v>
      </c>
      <c r="S251" s="54">
        <f t="shared" si="104"/>
        <v>0</v>
      </c>
      <c r="T251" s="31">
        <f t="shared" si="104"/>
        <v>0</v>
      </c>
      <c r="U251" s="31">
        <f t="shared" si="104"/>
        <v>0</v>
      </c>
      <c r="V251" s="54">
        <f t="shared" si="104"/>
        <v>0</v>
      </c>
      <c r="W251" s="48">
        <f t="shared" si="104"/>
        <v>0</v>
      </c>
      <c r="X251" s="99">
        <f t="shared" si="104"/>
        <v>0</v>
      </c>
      <c r="Y251" s="64">
        <f t="shared" si="107"/>
        <v>0</v>
      </c>
      <c r="Z251" s="28">
        <f t="shared" si="105"/>
        <v>0</v>
      </c>
    </row>
    <row r="252" spans="1:26" s="65" customFormat="1" ht="24" customHeight="1" hidden="1">
      <c r="A252" s="192" t="s">
        <v>389</v>
      </c>
      <c r="B252" s="193"/>
      <c r="C252" s="193"/>
      <c r="D252" s="193"/>
      <c r="E252" s="193"/>
      <c r="F252" s="38"/>
      <c r="G252" s="216" t="s">
        <v>390</v>
      </c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48">
        <f>R253</f>
        <v>0</v>
      </c>
      <c r="S252" s="151">
        <f t="shared" si="104"/>
        <v>0</v>
      </c>
      <c r="T252" s="31">
        <f t="shared" si="104"/>
        <v>0</v>
      </c>
      <c r="U252" s="31">
        <f t="shared" si="104"/>
        <v>0</v>
      </c>
      <c r="V252" s="54">
        <f t="shared" si="104"/>
        <v>0</v>
      </c>
      <c r="W252" s="48">
        <f t="shared" si="104"/>
        <v>0</v>
      </c>
      <c r="X252" s="99">
        <f t="shared" si="104"/>
        <v>0</v>
      </c>
      <c r="Y252" s="64">
        <f t="shared" si="107"/>
        <v>0</v>
      </c>
      <c r="Z252" s="28">
        <f t="shared" si="105"/>
        <v>0</v>
      </c>
    </row>
    <row r="253" spans="1:26" ht="24" customHeight="1" hidden="1">
      <c r="A253" s="192" t="s">
        <v>391</v>
      </c>
      <c r="B253" s="193"/>
      <c r="C253" s="193"/>
      <c r="D253" s="193"/>
      <c r="E253" s="193"/>
      <c r="F253" s="194"/>
      <c r="G253" s="233" t="s">
        <v>96</v>
      </c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49">
        <f>SUM(S253:V253)</f>
        <v>0</v>
      </c>
      <c r="S253" s="85">
        <f>100000+202200-302200</f>
        <v>0</v>
      </c>
      <c r="T253" s="86">
        <f>100000+600000-700000</f>
        <v>0</v>
      </c>
      <c r="U253" s="86">
        <f>100000-100000</f>
        <v>0</v>
      </c>
      <c r="V253" s="85">
        <f>100000-100000</f>
        <v>0</v>
      </c>
      <c r="W253" s="105">
        <v>0</v>
      </c>
      <c r="X253" s="102">
        <v>0</v>
      </c>
      <c r="Y253" s="64">
        <f t="shared" si="107"/>
        <v>0</v>
      </c>
      <c r="Z253" s="28">
        <f t="shared" si="105"/>
        <v>0</v>
      </c>
    </row>
    <row r="254" spans="1:26" ht="12.75" customHeight="1">
      <c r="A254" s="192" t="s">
        <v>448</v>
      </c>
      <c r="B254" s="193"/>
      <c r="C254" s="193"/>
      <c r="D254" s="193"/>
      <c r="E254" s="193"/>
      <c r="F254" s="194"/>
      <c r="G254" s="216" t="s">
        <v>238</v>
      </c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48">
        <f>R255</f>
        <v>2088800</v>
      </c>
      <c r="S254" s="54">
        <f>S255</f>
        <v>0</v>
      </c>
      <c r="T254" s="31">
        <f aca="true" t="shared" si="108" ref="T254:X255">T255</f>
        <v>1143600</v>
      </c>
      <c r="U254" s="31">
        <f t="shared" si="108"/>
        <v>945200</v>
      </c>
      <c r="V254" s="54">
        <f t="shared" si="108"/>
        <v>0</v>
      </c>
      <c r="W254" s="48">
        <f t="shared" si="108"/>
        <v>0</v>
      </c>
      <c r="X254" s="99">
        <f t="shared" si="108"/>
        <v>0</v>
      </c>
      <c r="Y254" s="28">
        <f t="shared" si="107"/>
        <v>2088800</v>
      </c>
      <c r="Z254" s="28">
        <f aca="true" t="shared" si="109" ref="Z254:Z275">R254-S254-T254-U254-V254</f>
        <v>0</v>
      </c>
    </row>
    <row r="255" spans="1:26" ht="24.75" customHeight="1">
      <c r="A255" s="192" t="s">
        <v>449</v>
      </c>
      <c r="B255" s="193"/>
      <c r="C255" s="193"/>
      <c r="D255" s="193"/>
      <c r="E255" s="193"/>
      <c r="F255" s="194"/>
      <c r="G255" s="216" t="s">
        <v>450</v>
      </c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48">
        <f>R256</f>
        <v>2088800</v>
      </c>
      <c r="S255" s="54">
        <f>S256</f>
        <v>0</v>
      </c>
      <c r="T255" s="31">
        <f t="shared" si="108"/>
        <v>1143600</v>
      </c>
      <c r="U255" s="31">
        <f t="shared" si="108"/>
        <v>945200</v>
      </c>
      <c r="V255" s="54">
        <f t="shared" si="108"/>
        <v>0</v>
      </c>
      <c r="W255" s="48">
        <f t="shared" si="108"/>
        <v>0</v>
      </c>
      <c r="X255" s="99">
        <f t="shared" si="108"/>
        <v>0</v>
      </c>
      <c r="Y255" s="28">
        <f t="shared" si="107"/>
        <v>2088800</v>
      </c>
      <c r="Z255" s="28">
        <f t="shared" si="109"/>
        <v>0</v>
      </c>
    </row>
    <row r="256" spans="1:26" ht="24.75" customHeight="1">
      <c r="A256" s="192" t="s">
        <v>451</v>
      </c>
      <c r="B256" s="193"/>
      <c r="C256" s="193"/>
      <c r="D256" s="193"/>
      <c r="E256" s="193"/>
      <c r="F256" s="194"/>
      <c r="G256" s="233" t="s">
        <v>96</v>
      </c>
      <c r="H256" s="234"/>
      <c r="I256" s="234"/>
      <c r="J256" s="234"/>
      <c r="K256" s="234"/>
      <c r="L256" s="234"/>
      <c r="M256" s="234"/>
      <c r="N256" s="234"/>
      <c r="O256" s="234"/>
      <c r="P256" s="234"/>
      <c r="Q256" s="234"/>
      <c r="R256" s="49">
        <f>SUM(S256:V256)</f>
        <v>2088800</v>
      </c>
      <c r="S256" s="85">
        <v>0</v>
      </c>
      <c r="T256" s="86">
        <f>1143600+505552-505552</f>
        <v>1143600</v>
      </c>
      <c r="U256" s="86">
        <v>945200</v>
      </c>
      <c r="V256" s="85">
        <v>0</v>
      </c>
      <c r="W256" s="105">
        <v>0</v>
      </c>
      <c r="X256" s="102">
        <v>0</v>
      </c>
      <c r="Y256" s="28">
        <f>SUM(S256:X256)</f>
        <v>2088800</v>
      </c>
      <c r="Z256" s="28">
        <f t="shared" si="109"/>
        <v>0</v>
      </c>
    </row>
    <row r="257" spans="1:26" ht="14.25" customHeight="1">
      <c r="A257" s="186" t="s">
        <v>511</v>
      </c>
      <c r="B257" s="181"/>
      <c r="C257" s="181"/>
      <c r="D257" s="181"/>
      <c r="E257" s="181"/>
      <c r="F257" s="211"/>
      <c r="G257" s="281" t="s">
        <v>509</v>
      </c>
      <c r="H257" s="282"/>
      <c r="I257" s="282"/>
      <c r="J257" s="282"/>
      <c r="K257" s="282"/>
      <c r="L257" s="282"/>
      <c r="M257" s="282"/>
      <c r="N257" s="282"/>
      <c r="O257" s="282"/>
      <c r="P257" s="155"/>
      <c r="Q257" s="155"/>
      <c r="R257" s="46">
        <f aca="true" t="shared" si="110" ref="R257:X259">R258</f>
        <v>270822.61</v>
      </c>
      <c r="S257" s="156">
        <f t="shared" si="110"/>
        <v>0</v>
      </c>
      <c r="T257" s="156">
        <f t="shared" si="110"/>
        <v>0</v>
      </c>
      <c r="U257" s="156">
        <f t="shared" si="110"/>
        <v>120190</v>
      </c>
      <c r="V257" s="168">
        <f>V258</f>
        <v>150632.61</v>
      </c>
      <c r="W257" s="124">
        <f t="shared" si="110"/>
        <v>0</v>
      </c>
      <c r="X257" s="127">
        <f t="shared" si="110"/>
        <v>0</v>
      </c>
      <c r="Y257" s="28"/>
      <c r="Z257" s="28"/>
    </row>
    <row r="258" spans="1:26" ht="18" customHeight="1">
      <c r="A258" s="198" t="s">
        <v>507</v>
      </c>
      <c r="B258" s="199"/>
      <c r="C258" s="199"/>
      <c r="D258" s="199"/>
      <c r="E258" s="199"/>
      <c r="F258" s="200"/>
      <c r="G258" s="226" t="s">
        <v>510</v>
      </c>
      <c r="H258" s="227"/>
      <c r="I258" s="227"/>
      <c r="J258" s="227"/>
      <c r="K258" s="227"/>
      <c r="L258" s="227"/>
      <c r="M258" s="227"/>
      <c r="N258" s="227"/>
      <c r="O258" s="227"/>
      <c r="P258" s="154"/>
      <c r="Q258" s="154"/>
      <c r="R258" s="47">
        <f t="shared" si="110"/>
        <v>270822.61</v>
      </c>
      <c r="S258" s="157">
        <f t="shared" si="110"/>
        <v>0</v>
      </c>
      <c r="T258" s="157">
        <f t="shared" si="110"/>
        <v>0</v>
      </c>
      <c r="U258" s="157">
        <f t="shared" si="110"/>
        <v>120190</v>
      </c>
      <c r="V258" s="169">
        <f>V259</f>
        <v>150632.61</v>
      </c>
      <c r="W258" s="125">
        <f t="shared" si="110"/>
        <v>0</v>
      </c>
      <c r="X258" s="128">
        <f t="shared" si="110"/>
        <v>0</v>
      </c>
      <c r="Y258" s="28"/>
      <c r="Z258" s="28"/>
    </row>
    <row r="259" spans="1:26" ht="20.25" customHeight="1">
      <c r="A259" s="192" t="s">
        <v>513</v>
      </c>
      <c r="B259" s="193"/>
      <c r="C259" s="193"/>
      <c r="D259" s="193"/>
      <c r="E259" s="193"/>
      <c r="F259" s="194"/>
      <c r="G259" s="233" t="s">
        <v>238</v>
      </c>
      <c r="H259" s="234"/>
      <c r="I259" s="234"/>
      <c r="J259" s="234"/>
      <c r="K259" s="234"/>
      <c r="L259" s="234"/>
      <c r="M259" s="234"/>
      <c r="N259" s="234"/>
      <c r="O259" s="234"/>
      <c r="P259" s="153"/>
      <c r="Q259" s="153"/>
      <c r="R259" s="48">
        <f t="shared" si="110"/>
        <v>270822.61</v>
      </c>
      <c r="S259" s="88">
        <f t="shared" si="110"/>
        <v>0</v>
      </c>
      <c r="T259" s="88">
        <f t="shared" si="110"/>
        <v>0</v>
      </c>
      <c r="U259" s="88">
        <f t="shared" si="110"/>
        <v>120190</v>
      </c>
      <c r="V259" s="170">
        <f t="shared" si="110"/>
        <v>150632.61</v>
      </c>
      <c r="W259" s="113">
        <f t="shared" si="110"/>
        <v>0</v>
      </c>
      <c r="X259" s="112">
        <f t="shared" si="110"/>
        <v>0</v>
      </c>
      <c r="Y259" s="28"/>
      <c r="Z259" s="28"/>
    </row>
    <row r="260" spans="1:26" ht="24.75" customHeight="1">
      <c r="A260" s="192" t="s">
        <v>508</v>
      </c>
      <c r="B260" s="193"/>
      <c r="C260" s="193"/>
      <c r="D260" s="193"/>
      <c r="E260" s="193"/>
      <c r="F260" s="194"/>
      <c r="G260" s="233" t="s">
        <v>450</v>
      </c>
      <c r="H260" s="234"/>
      <c r="I260" s="234"/>
      <c r="J260" s="234"/>
      <c r="K260" s="234"/>
      <c r="L260" s="234"/>
      <c r="M260" s="234"/>
      <c r="N260" s="234"/>
      <c r="O260" s="234"/>
      <c r="P260" s="153"/>
      <c r="Q260" s="153"/>
      <c r="R260" s="48">
        <f aca="true" t="shared" si="111" ref="R260:X260">R261</f>
        <v>270822.61</v>
      </c>
      <c r="S260" s="88">
        <f t="shared" si="111"/>
        <v>0</v>
      </c>
      <c r="T260" s="88">
        <f t="shared" si="111"/>
        <v>0</v>
      </c>
      <c r="U260" s="88">
        <f t="shared" si="111"/>
        <v>120190</v>
      </c>
      <c r="V260" s="170">
        <f t="shared" si="111"/>
        <v>150632.61</v>
      </c>
      <c r="W260" s="113">
        <f t="shared" si="111"/>
        <v>0</v>
      </c>
      <c r="X260" s="112">
        <f t="shared" si="111"/>
        <v>0</v>
      </c>
      <c r="Y260" s="28"/>
      <c r="Z260" s="28"/>
    </row>
    <row r="261" spans="1:26" ht="24" customHeight="1">
      <c r="A261" s="192" t="s">
        <v>512</v>
      </c>
      <c r="B261" s="193"/>
      <c r="C261" s="193"/>
      <c r="D261" s="193"/>
      <c r="E261" s="193"/>
      <c r="F261" s="194"/>
      <c r="G261" s="233" t="s">
        <v>96</v>
      </c>
      <c r="H261" s="234"/>
      <c r="I261" s="234"/>
      <c r="J261" s="234"/>
      <c r="K261" s="234"/>
      <c r="L261" s="234"/>
      <c r="M261" s="234"/>
      <c r="N261" s="234"/>
      <c r="O261" s="234"/>
      <c r="P261" s="153"/>
      <c r="Q261" s="153"/>
      <c r="R261" s="49">
        <f>S261+T261+U261+V261</f>
        <v>270822.61</v>
      </c>
      <c r="S261" s="86">
        <v>0</v>
      </c>
      <c r="T261" s="86">
        <v>0</v>
      </c>
      <c r="U261" s="86">
        <f>60190+60000</f>
        <v>120190</v>
      </c>
      <c r="V261" s="166">
        <f>234588-25233-42568.13-61840.6+45686.34</f>
        <v>150632.61</v>
      </c>
      <c r="W261" s="105">
        <v>0</v>
      </c>
      <c r="X261" s="102">
        <v>0</v>
      </c>
      <c r="Y261" s="28"/>
      <c r="Z261" s="28"/>
    </row>
    <row r="262" spans="1:26" s="4" customFormat="1" ht="14.25" customHeight="1">
      <c r="A262" s="201" t="s">
        <v>123</v>
      </c>
      <c r="B262" s="202"/>
      <c r="C262" s="202"/>
      <c r="D262" s="202"/>
      <c r="E262" s="202"/>
      <c r="F262" s="185"/>
      <c r="G262" s="182" t="s">
        <v>92</v>
      </c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34">
        <f>R263</f>
        <v>284444</v>
      </c>
      <c r="S262" s="53">
        <f aca="true" t="shared" si="112" ref="S262:X264">S263</f>
        <v>0</v>
      </c>
      <c r="T262" s="29">
        <f t="shared" si="112"/>
        <v>0</v>
      </c>
      <c r="U262" s="29">
        <f t="shared" si="112"/>
        <v>0</v>
      </c>
      <c r="V262" s="53">
        <f t="shared" si="112"/>
        <v>284444</v>
      </c>
      <c r="W262" s="34">
        <f t="shared" si="112"/>
        <v>0</v>
      </c>
      <c r="X262" s="96">
        <f t="shared" si="112"/>
        <v>0</v>
      </c>
      <c r="Y262" s="28">
        <f>SUM(S262:V262)</f>
        <v>284444</v>
      </c>
      <c r="Z262" s="28">
        <f>R262-S262-T262-U262-V262</f>
        <v>0</v>
      </c>
    </row>
    <row r="263" spans="1:26" s="3" customFormat="1" ht="14.25" customHeight="1">
      <c r="A263" s="186" t="s">
        <v>124</v>
      </c>
      <c r="B263" s="181"/>
      <c r="C263" s="181"/>
      <c r="D263" s="181"/>
      <c r="E263" s="181"/>
      <c r="F263" s="211"/>
      <c r="G263" s="184" t="s">
        <v>97</v>
      </c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46">
        <f>R264</f>
        <v>284444</v>
      </c>
      <c r="S263" s="75">
        <f t="shared" si="112"/>
        <v>0</v>
      </c>
      <c r="T263" s="44">
        <f t="shared" si="112"/>
        <v>0</v>
      </c>
      <c r="U263" s="44">
        <f t="shared" si="112"/>
        <v>0</v>
      </c>
      <c r="V263" s="75">
        <f t="shared" si="112"/>
        <v>284444</v>
      </c>
      <c r="W263" s="46">
        <f t="shared" si="112"/>
        <v>0</v>
      </c>
      <c r="X263" s="97">
        <f t="shared" si="112"/>
        <v>0</v>
      </c>
      <c r="Y263" s="28">
        <f>SUM(S263:V263)</f>
        <v>284444</v>
      </c>
      <c r="Z263" s="28">
        <f>R263-S263-T263-U263-V263</f>
        <v>0</v>
      </c>
    </row>
    <row r="264" spans="1:26" s="3" customFormat="1" ht="13.5" customHeight="1">
      <c r="A264" s="198" t="s">
        <v>125</v>
      </c>
      <c r="B264" s="199"/>
      <c r="C264" s="199"/>
      <c r="D264" s="199"/>
      <c r="E264" s="199"/>
      <c r="F264" s="200"/>
      <c r="G264" s="220" t="s">
        <v>93</v>
      </c>
      <c r="H264" s="221"/>
      <c r="I264" s="221"/>
      <c r="J264" s="221"/>
      <c r="K264" s="221"/>
      <c r="L264" s="221"/>
      <c r="M264" s="221"/>
      <c r="N264" s="221"/>
      <c r="O264" s="221"/>
      <c r="P264" s="221"/>
      <c r="Q264" s="221"/>
      <c r="R264" s="47">
        <f>R265</f>
        <v>284444</v>
      </c>
      <c r="S264" s="77">
        <f t="shared" si="112"/>
        <v>0</v>
      </c>
      <c r="T264" s="30">
        <f t="shared" si="112"/>
        <v>0</v>
      </c>
      <c r="U264" s="30">
        <f t="shared" si="112"/>
        <v>0</v>
      </c>
      <c r="V264" s="77">
        <f t="shared" si="112"/>
        <v>284444</v>
      </c>
      <c r="W264" s="47">
        <f t="shared" si="112"/>
        <v>0</v>
      </c>
      <c r="X264" s="98">
        <f t="shared" si="112"/>
        <v>0</v>
      </c>
      <c r="Y264" s="28">
        <f>SUM(S264:V264)</f>
        <v>284444</v>
      </c>
      <c r="Z264" s="28">
        <f>R264-S264-T264-U264-V264</f>
        <v>0</v>
      </c>
    </row>
    <row r="265" spans="1:26" ht="20.25" customHeight="1">
      <c r="A265" s="192" t="s">
        <v>525</v>
      </c>
      <c r="B265" s="193"/>
      <c r="C265" s="193"/>
      <c r="D265" s="193"/>
      <c r="E265" s="193"/>
      <c r="F265" s="194"/>
      <c r="G265" s="233" t="s">
        <v>238</v>
      </c>
      <c r="H265" s="234"/>
      <c r="I265" s="234"/>
      <c r="J265" s="234"/>
      <c r="K265" s="234"/>
      <c r="L265" s="234"/>
      <c r="M265" s="234"/>
      <c r="N265" s="234"/>
      <c r="O265" s="234"/>
      <c r="P265" s="153"/>
      <c r="Q265" s="153"/>
      <c r="R265" s="48">
        <f aca="true" t="shared" si="113" ref="R265:X265">R266</f>
        <v>284444</v>
      </c>
      <c r="S265" s="88">
        <f t="shared" si="113"/>
        <v>0</v>
      </c>
      <c r="T265" s="88">
        <f t="shared" si="113"/>
        <v>0</v>
      </c>
      <c r="U265" s="88">
        <f t="shared" si="113"/>
        <v>0</v>
      </c>
      <c r="V265" s="170">
        <f t="shared" si="113"/>
        <v>284444</v>
      </c>
      <c r="W265" s="113">
        <f t="shared" si="113"/>
        <v>0</v>
      </c>
      <c r="X265" s="112">
        <f t="shared" si="113"/>
        <v>0</v>
      </c>
      <c r="Y265" s="28"/>
      <c r="Z265" s="28"/>
    </row>
    <row r="266" spans="1:26" ht="24.75" customHeight="1">
      <c r="A266" s="192" t="s">
        <v>526</v>
      </c>
      <c r="B266" s="193"/>
      <c r="C266" s="193"/>
      <c r="D266" s="193"/>
      <c r="E266" s="193"/>
      <c r="F266" s="194"/>
      <c r="G266" s="233" t="s">
        <v>450</v>
      </c>
      <c r="H266" s="234"/>
      <c r="I266" s="234"/>
      <c r="J266" s="234"/>
      <c r="K266" s="234"/>
      <c r="L266" s="234"/>
      <c r="M266" s="234"/>
      <c r="N266" s="234"/>
      <c r="O266" s="234"/>
      <c r="P266" s="153"/>
      <c r="Q266" s="153"/>
      <c r="R266" s="48">
        <f aca="true" t="shared" si="114" ref="R266:X266">R267</f>
        <v>284444</v>
      </c>
      <c r="S266" s="88">
        <f t="shared" si="114"/>
        <v>0</v>
      </c>
      <c r="T266" s="88">
        <f t="shared" si="114"/>
        <v>0</v>
      </c>
      <c r="U266" s="88">
        <f t="shared" si="114"/>
        <v>0</v>
      </c>
      <c r="V266" s="170">
        <f t="shared" si="114"/>
        <v>284444</v>
      </c>
      <c r="W266" s="113">
        <f t="shared" si="114"/>
        <v>0</v>
      </c>
      <c r="X266" s="112">
        <f t="shared" si="114"/>
        <v>0</v>
      </c>
      <c r="Y266" s="28"/>
      <c r="Z266" s="28"/>
    </row>
    <row r="267" spans="1:26" ht="12.75">
      <c r="A267" s="192" t="s">
        <v>527</v>
      </c>
      <c r="B267" s="193"/>
      <c r="C267" s="193"/>
      <c r="D267" s="193"/>
      <c r="E267" s="193"/>
      <c r="F267" s="194"/>
      <c r="G267" s="233" t="s">
        <v>46</v>
      </c>
      <c r="H267" s="234"/>
      <c r="I267" s="234"/>
      <c r="J267" s="234"/>
      <c r="K267" s="234"/>
      <c r="L267" s="234"/>
      <c r="M267" s="234"/>
      <c r="N267" s="234"/>
      <c r="O267" s="234"/>
      <c r="P267" s="153"/>
      <c r="Q267" s="153"/>
      <c r="R267" s="49">
        <f>S267+T267+U267+V267</f>
        <v>284444</v>
      </c>
      <c r="S267" s="86">
        <v>0</v>
      </c>
      <c r="T267" s="86">
        <v>0</v>
      </c>
      <c r="U267" s="86">
        <v>0</v>
      </c>
      <c r="V267" s="166">
        <f>1000+283444</f>
        <v>284444</v>
      </c>
      <c r="W267" s="105">
        <v>0</v>
      </c>
      <c r="X267" s="102">
        <v>0</v>
      </c>
      <c r="Y267" s="28"/>
      <c r="Z267" s="28"/>
    </row>
    <row r="268" spans="1:26" s="4" customFormat="1" ht="12.75" customHeight="1">
      <c r="A268" s="201" t="s">
        <v>126</v>
      </c>
      <c r="B268" s="202"/>
      <c r="C268" s="202"/>
      <c r="D268" s="202"/>
      <c r="E268" s="202"/>
      <c r="F268" s="185"/>
      <c r="G268" s="182" t="s">
        <v>50</v>
      </c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34">
        <f>R269+R277+R317</f>
        <v>2701505.88</v>
      </c>
      <c r="S268" s="148">
        <f aca="true" t="shared" si="115" ref="S268:X268">S269+S277+S317</f>
        <v>618126</v>
      </c>
      <c r="T268" s="29">
        <f t="shared" si="115"/>
        <v>681530.78</v>
      </c>
      <c r="U268" s="29">
        <f t="shared" si="115"/>
        <v>790806.87</v>
      </c>
      <c r="V268" s="53">
        <f t="shared" si="115"/>
        <v>611042.23</v>
      </c>
      <c r="W268" s="34">
        <f t="shared" si="115"/>
        <v>2012200</v>
      </c>
      <c r="X268" s="96">
        <f t="shared" si="115"/>
        <v>2060600</v>
      </c>
      <c r="Y268" s="64">
        <f t="shared" si="99"/>
        <v>2701505.88</v>
      </c>
      <c r="Z268" s="28">
        <f t="shared" si="109"/>
        <v>0</v>
      </c>
    </row>
    <row r="269" spans="1:26" s="3" customFormat="1" ht="12.75" customHeight="1">
      <c r="A269" s="186" t="s">
        <v>452</v>
      </c>
      <c r="B269" s="181"/>
      <c r="C269" s="181"/>
      <c r="D269" s="181"/>
      <c r="E269" s="181"/>
      <c r="F269" s="211"/>
      <c r="G269" s="184" t="s">
        <v>179</v>
      </c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46">
        <f>R270</f>
        <v>507133</v>
      </c>
      <c r="S269" s="149">
        <f aca="true" t="shared" si="116" ref="S269:X273">S270</f>
        <v>102201</v>
      </c>
      <c r="T269" s="44">
        <f t="shared" si="116"/>
        <v>99999</v>
      </c>
      <c r="U269" s="44">
        <f t="shared" si="116"/>
        <v>133101</v>
      </c>
      <c r="V269" s="75">
        <f t="shared" si="116"/>
        <v>171832</v>
      </c>
      <c r="W269" s="46">
        <f t="shared" si="116"/>
        <v>0</v>
      </c>
      <c r="X269" s="97">
        <f t="shared" si="116"/>
        <v>0</v>
      </c>
      <c r="Y269" s="64">
        <f aca="true" t="shared" si="117" ref="Y269:Y274">SUM(S269:V269)</f>
        <v>507133</v>
      </c>
      <c r="Z269" s="28">
        <f t="shared" si="109"/>
        <v>0</v>
      </c>
    </row>
    <row r="270" spans="1:26" s="3" customFormat="1" ht="13.5" customHeight="1">
      <c r="A270" s="198" t="s">
        <v>453</v>
      </c>
      <c r="B270" s="199"/>
      <c r="C270" s="199"/>
      <c r="D270" s="199"/>
      <c r="E270" s="199"/>
      <c r="F270" s="200"/>
      <c r="G270" s="220" t="s">
        <v>386</v>
      </c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165">
        <f>R271</f>
        <v>507133</v>
      </c>
      <c r="S270" s="150">
        <f t="shared" si="116"/>
        <v>102201</v>
      </c>
      <c r="T270" s="30">
        <f t="shared" si="116"/>
        <v>99999</v>
      </c>
      <c r="U270" s="30">
        <f t="shared" si="116"/>
        <v>133101</v>
      </c>
      <c r="V270" s="77">
        <f t="shared" si="116"/>
        <v>171832</v>
      </c>
      <c r="W270" s="47">
        <f t="shared" si="116"/>
        <v>0</v>
      </c>
      <c r="X270" s="98">
        <f t="shared" si="116"/>
        <v>0</v>
      </c>
      <c r="Y270" s="64">
        <f t="shared" si="117"/>
        <v>507133</v>
      </c>
      <c r="Z270" s="28">
        <f t="shared" si="109"/>
        <v>0</v>
      </c>
    </row>
    <row r="271" spans="1:26" ht="24" customHeight="1">
      <c r="A271" s="192" t="s">
        <v>454</v>
      </c>
      <c r="B271" s="193"/>
      <c r="C271" s="193"/>
      <c r="D271" s="193"/>
      <c r="E271" s="193"/>
      <c r="F271" s="38"/>
      <c r="G271" s="216" t="s">
        <v>189</v>
      </c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48">
        <f>R272</f>
        <v>507133</v>
      </c>
      <c r="S271" s="151">
        <f t="shared" si="116"/>
        <v>102201</v>
      </c>
      <c r="T271" s="31">
        <f t="shared" si="116"/>
        <v>99999</v>
      </c>
      <c r="U271" s="31">
        <f t="shared" si="116"/>
        <v>133101</v>
      </c>
      <c r="V271" s="54">
        <f t="shared" si="116"/>
        <v>171832</v>
      </c>
      <c r="W271" s="48">
        <f t="shared" si="116"/>
        <v>0</v>
      </c>
      <c r="X271" s="99">
        <f t="shared" si="116"/>
        <v>0</v>
      </c>
      <c r="Y271" s="64">
        <f t="shared" si="117"/>
        <v>507133</v>
      </c>
      <c r="Z271" s="28">
        <f t="shared" si="109"/>
        <v>0</v>
      </c>
    </row>
    <row r="272" spans="1:26" s="65" customFormat="1" ht="24" customHeight="1">
      <c r="A272" s="192" t="s">
        <v>455</v>
      </c>
      <c r="B272" s="193"/>
      <c r="C272" s="193"/>
      <c r="D272" s="193"/>
      <c r="E272" s="193"/>
      <c r="F272" s="38"/>
      <c r="G272" s="216" t="s">
        <v>190</v>
      </c>
      <c r="H272" s="217"/>
      <c r="I272" s="217"/>
      <c r="J272" s="217"/>
      <c r="K272" s="217"/>
      <c r="L272" s="217"/>
      <c r="M272" s="217"/>
      <c r="N272" s="217"/>
      <c r="O272" s="217"/>
      <c r="P272" s="217"/>
      <c r="Q272" s="217"/>
      <c r="R272" s="48">
        <f>R273</f>
        <v>507133</v>
      </c>
      <c r="S272" s="151">
        <f t="shared" si="116"/>
        <v>102201</v>
      </c>
      <c r="T272" s="31">
        <f t="shared" si="116"/>
        <v>99999</v>
      </c>
      <c r="U272" s="31">
        <f t="shared" si="116"/>
        <v>133101</v>
      </c>
      <c r="V272" s="54">
        <f t="shared" si="116"/>
        <v>171832</v>
      </c>
      <c r="W272" s="48">
        <f t="shared" si="116"/>
        <v>0</v>
      </c>
      <c r="X272" s="99">
        <f t="shared" si="116"/>
        <v>0</v>
      </c>
      <c r="Y272" s="64">
        <f t="shared" si="117"/>
        <v>507133</v>
      </c>
      <c r="Z272" s="28">
        <f t="shared" si="109"/>
        <v>0</v>
      </c>
    </row>
    <row r="273" spans="1:26" s="65" customFormat="1" ht="24" customHeight="1">
      <c r="A273" s="192" t="s">
        <v>456</v>
      </c>
      <c r="B273" s="193"/>
      <c r="C273" s="193"/>
      <c r="D273" s="193"/>
      <c r="E273" s="193"/>
      <c r="F273" s="38"/>
      <c r="G273" s="216" t="s">
        <v>191</v>
      </c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48">
        <f>R274+R276+R275</f>
        <v>507133</v>
      </c>
      <c r="S273" s="151">
        <f>S274+S275+S276</f>
        <v>102201</v>
      </c>
      <c r="T273" s="31">
        <f>T274+T276+T275</f>
        <v>99999</v>
      </c>
      <c r="U273" s="31">
        <f>U274+U275+U276</f>
        <v>133101</v>
      </c>
      <c r="V273" s="54">
        <f t="shared" si="116"/>
        <v>171832</v>
      </c>
      <c r="W273" s="48">
        <f t="shared" si="116"/>
        <v>0</v>
      </c>
      <c r="X273" s="99">
        <f t="shared" si="116"/>
        <v>0</v>
      </c>
      <c r="Y273" s="64">
        <f t="shared" si="117"/>
        <v>507133</v>
      </c>
      <c r="Z273" s="28">
        <f t="shared" si="109"/>
        <v>0</v>
      </c>
    </row>
    <row r="274" spans="1:26" ht="12.75">
      <c r="A274" s="192" t="s">
        <v>457</v>
      </c>
      <c r="B274" s="193"/>
      <c r="C274" s="193"/>
      <c r="D274" s="193"/>
      <c r="E274" s="193"/>
      <c r="F274" s="194"/>
      <c r="G274" s="216" t="s">
        <v>41</v>
      </c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49">
        <f>SUM(S274:V274)</f>
        <v>274033</v>
      </c>
      <c r="S274" s="85">
        <f>202200-99999</f>
        <v>102201</v>
      </c>
      <c r="T274" s="86">
        <f>505552+304933-605551-204934</f>
        <v>0</v>
      </c>
      <c r="U274" s="86">
        <v>0</v>
      </c>
      <c r="V274" s="85">
        <f>71833+99999</f>
        <v>171832</v>
      </c>
      <c r="W274" s="105">
        <v>0</v>
      </c>
      <c r="X274" s="102">
        <v>0</v>
      </c>
      <c r="Y274" s="64">
        <f t="shared" si="117"/>
        <v>274033</v>
      </c>
      <c r="Z274" s="28">
        <f t="shared" si="109"/>
        <v>0</v>
      </c>
    </row>
    <row r="275" spans="1:26" ht="12.75" customHeight="1">
      <c r="A275" s="192" t="s">
        <v>494</v>
      </c>
      <c r="B275" s="193"/>
      <c r="C275" s="193"/>
      <c r="D275" s="193"/>
      <c r="E275" s="193"/>
      <c r="F275" s="194"/>
      <c r="G275" s="216" t="s">
        <v>42</v>
      </c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49">
        <f>SUM(S275:V275)</f>
        <v>0</v>
      </c>
      <c r="S275" s="85"/>
      <c r="T275" s="86">
        <f>99999-99999</f>
        <v>0</v>
      </c>
      <c r="U275" s="86">
        <v>0</v>
      </c>
      <c r="V275" s="85">
        <v>0</v>
      </c>
      <c r="W275" s="105">
        <v>0</v>
      </c>
      <c r="X275" s="102">
        <v>0</v>
      </c>
      <c r="Y275" s="64">
        <f>SUM(S275:V275)</f>
        <v>0</v>
      </c>
      <c r="Z275" s="28">
        <f t="shared" si="109"/>
        <v>0</v>
      </c>
    </row>
    <row r="276" spans="1:26" ht="12.75">
      <c r="A276" s="192" t="s">
        <v>486</v>
      </c>
      <c r="B276" s="193"/>
      <c r="C276" s="193"/>
      <c r="D276" s="193"/>
      <c r="E276" s="193"/>
      <c r="F276" s="194"/>
      <c r="G276" s="216" t="s">
        <v>43</v>
      </c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49">
        <f>SUM(S276:V276)</f>
        <v>233100</v>
      </c>
      <c r="S276" s="85"/>
      <c r="T276" s="86">
        <v>99999</v>
      </c>
      <c r="U276" s="86">
        <f>204934-71833</f>
        <v>133101</v>
      </c>
      <c r="V276" s="85">
        <v>0</v>
      </c>
      <c r="W276" s="105"/>
      <c r="X276" s="102"/>
      <c r="Y276" s="64"/>
      <c r="Z276" s="28"/>
    </row>
    <row r="277" spans="1:26" s="43" customFormat="1" ht="12.75">
      <c r="A277" s="186" t="s">
        <v>128</v>
      </c>
      <c r="B277" s="181"/>
      <c r="C277" s="181"/>
      <c r="D277" s="181"/>
      <c r="E277" s="181"/>
      <c r="F277" s="41"/>
      <c r="G277" s="184" t="s">
        <v>50</v>
      </c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46">
        <f>R278+R287+R293+R298+R306</f>
        <v>2118506.88</v>
      </c>
      <c r="S277" s="149">
        <f aca="true" t="shared" si="118" ref="S277:X277">S278+S287+S293+S298+S306</f>
        <v>515925</v>
      </c>
      <c r="T277" s="44">
        <f t="shared" si="118"/>
        <v>581531.78</v>
      </c>
      <c r="U277" s="44">
        <f t="shared" si="118"/>
        <v>596993.87</v>
      </c>
      <c r="V277" s="75">
        <f t="shared" si="118"/>
        <v>424056.23</v>
      </c>
      <c r="W277" s="46">
        <f t="shared" si="118"/>
        <v>2012200</v>
      </c>
      <c r="X277" s="97">
        <f t="shared" si="118"/>
        <v>2060600</v>
      </c>
      <c r="Y277" s="64">
        <f t="shared" si="99"/>
        <v>2118506.88</v>
      </c>
      <c r="Z277" s="28">
        <f aca="true" t="shared" si="119" ref="Z277:Z305">R277-S277-T277-U277-V277</f>
        <v>0</v>
      </c>
    </row>
    <row r="278" spans="1:26" s="3" customFormat="1" ht="12.75">
      <c r="A278" s="198" t="s">
        <v>127</v>
      </c>
      <c r="B278" s="199"/>
      <c r="C278" s="199"/>
      <c r="D278" s="199"/>
      <c r="E278" s="199"/>
      <c r="F278" s="200"/>
      <c r="G278" s="220" t="s">
        <v>51</v>
      </c>
      <c r="H278" s="221"/>
      <c r="I278" s="221"/>
      <c r="J278" s="221"/>
      <c r="K278" s="221"/>
      <c r="L278" s="221"/>
      <c r="M278" s="221"/>
      <c r="N278" s="221"/>
      <c r="O278" s="221"/>
      <c r="P278" s="221"/>
      <c r="Q278" s="221"/>
      <c r="R278" s="47">
        <f>R279</f>
        <v>1257725.3399999999</v>
      </c>
      <c r="S278" s="77">
        <f aca="true" t="shared" si="120" ref="S278:X280">S279</f>
        <v>400000</v>
      </c>
      <c r="T278" s="30">
        <f t="shared" si="120"/>
        <v>311385.58</v>
      </c>
      <c r="U278" s="30">
        <f t="shared" si="120"/>
        <v>223090.42</v>
      </c>
      <c r="V278" s="77">
        <f t="shared" si="120"/>
        <v>323249.33999999997</v>
      </c>
      <c r="W278" s="47">
        <f t="shared" si="120"/>
        <v>1379700</v>
      </c>
      <c r="X278" s="98">
        <f t="shared" si="120"/>
        <v>1412800</v>
      </c>
      <c r="Y278" s="64">
        <f t="shared" si="99"/>
        <v>1257725.34</v>
      </c>
      <c r="Z278" s="28">
        <f t="shared" si="119"/>
        <v>0</v>
      </c>
    </row>
    <row r="279" spans="1:26" ht="24" customHeight="1">
      <c r="A279" s="192" t="s">
        <v>325</v>
      </c>
      <c r="B279" s="193"/>
      <c r="C279" s="193"/>
      <c r="D279" s="193"/>
      <c r="E279" s="193"/>
      <c r="F279" s="38"/>
      <c r="G279" s="216" t="s">
        <v>189</v>
      </c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48">
        <f>R280</f>
        <v>1257725.3399999999</v>
      </c>
      <c r="S279" s="54">
        <f t="shared" si="120"/>
        <v>400000</v>
      </c>
      <c r="T279" s="31">
        <f t="shared" si="120"/>
        <v>311385.58</v>
      </c>
      <c r="U279" s="31">
        <f t="shared" si="120"/>
        <v>223090.42</v>
      </c>
      <c r="V279" s="54">
        <f t="shared" si="120"/>
        <v>323249.33999999997</v>
      </c>
      <c r="W279" s="48">
        <f t="shared" si="120"/>
        <v>1379700</v>
      </c>
      <c r="X279" s="99">
        <f t="shared" si="120"/>
        <v>1412800</v>
      </c>
      <c r="Y279" s="64">
        <f>SUM(S279:V279)</f>
        <v>1257725.34</v>
      </c>
      <c r="Z279" s="28">
        <f t="shared" si="119"/>
        <v>0</v>
      </c>
    </row>
    <row r="280" spans="1:26" s="65" customFormat="1" ht="24" customHeight="1">
      <c r="A280" s="192" t="s">
        <v>326</v>
      </c>
      <c r="B280" s="193"/>
      <c r="C280" s="193"/>
      <c r="D280" s="193"/>
      <c r="E280" s="193"/>
      <c r="F280" s="38"/>
      <c r="G280" s="216" t="s">
        <v>190</v>
      </c>
      <c r="H280" s="217"/>
      <c r="I280" s="217"/>
      <c r="J280" s="217"/>
      <c r="K280" s="217"/>
      <c r="L280" s="217"/>
      <c r="M280" s="217"/>
      <c r="N280" s="217"/>
      <c r="O280" s="217"/>
      <c r="P280" s="217"/>
      <c r="Q280" s="217"/>
      <c r="R280" s="48">
        <f>R281</f>
        <v>1257725.3399999999</v>
      </c>
      <c r="S280" s="54">
        <f t="shared" si="120"/>
        <v>400000</v>
      </c>
      <c r="T280" s="31">
        <f t="shared" si="120"/>
        <v>311385.58</v>
      </c>
      <c r="U280" s="31">
        <f t="shared" si="120"/>
        <v>223090.42</v>
      </c>
      <c r="V280" s="54">
        <f t="shared" si="120"/>
        <v>323249.33999999997</v>
      </c>
      <c r="W280" s="48">
        <f t="shared" si="120"/>
        <v>1379700</v>
      </c>
      <c r="X280" s="99">
        <f t="shared" si="120"/>
        <v>1412800</v>
      </c>
      <c r="Y280" s="64">
        <f>SUM(S280:V280)</f>
        <v>1257725.34</v>
      </c>
      <c r="Z280" s="28">
        <f t="shared" si="119"/>
        <v>0</v>
      </c>
    </row>
    <row r="281" spans="1:26" s="65" customFormat="1" ht="24" customHeight="1">
      <c r="A281" s="192" t="s">
        <v>327</v>
      </c>
      <c r="B281" s="193"/>
      <c r="C281" s="193"/>
      <c r="D281" s="193"/>
      <c r="E281" s="193"/>
      <c r="F281" s="38"/>
      <c r="G281" s="216" t="s">
        <v>191</v>
      </c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48">
        <f>SUM(R282:R286)</f>
        <v>1257725.3399999999</v>
      </c>
      <c r="S281" s="54">
        <f aca="true" t="shared" si="121" ref="S281:X281">SUM(S282:S286)</f>
        <v>400000</v>
      </c>
      <c r="T281" s="31">
        <f t="shared" si="121"/>
        <v>311385.58</v>
      </c>
      <c r="U281" s="31">
        <f t="shared" si="121"/>
        <v>223090.42</v>
      </c>
      <c r="V281" s="54">
        <f t="shared" si="121"/>
        <v>323249.33999999997</v>
      </c>
      <c r="W281" s="113">
        <f t="shared" si="121"/>
        <v>1379700</v>
      </c>
      <c r="X281" s="112">
        <f t="shared" si="121"/>
        <v>1412800</v>
      </c>
      <c r="Y281" s="64">
        <f>SUM(S281:V281)</f>
        <v>1257725.34</v>
      </c>
      <c r="Z281" s="28">
        <f t="shared" si="119"/>
        <v>0</v>
      </c>
    </row>
    <row r="282" spans="1:26" ht="12.75" hidden="1">
      <c r="A282" s="192" t="s">
        <v>328</v>
      </c>
      <c r="B282" s="193"/>
      <c r="C282" s="193"/>
      <c r="D282" s="193"/>
      <c r="E282" s="193"/>
      <c r="F282" s="194"/>
      <c r="G282" s="216" t="s">
        <v>39</v>
      </c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49">
        <f>SUM(S282:V282)</f>
        <v>0</v>
      </c>
      <c r="S282" s="85">
        <v>0</v>
      </c>
      <c r="T282" s="86">
        <v>0</v>
      </c>
      <c r="U282" s="86">
        <v>0</v>
      </c>
      <c r="V282" s="85">
        <v>0</v>
      </c>
      <c r="W282" s="105">
        <v>0</v>
      </c>
      <c r="X282" s="102">
        <v>0</v>
      </c>
      <c r="Y282" s="64">
        <f t="shared" si="99"/>
        <v>0</v>
      </c>
      <c r="Z282" s="28">
        <f t="shared" si="119"/>
        <v>0</v>
      </c>
    </row>
    <row r="283" spans="1:26" ht="12.75">
      <c r="A283" s="192" t="s">
        <v>329</v>
      </c>
      <c r="B283" s="193"/>
      <c r="C283" s="193"/>
      <c r="D283" s="193"/>
      <c r="E283" s="193"/>
      <c r="F283" s="194"/>
      <c r="G283" s="216" t="s">
        <v>40</v>
      </c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49">
        <f>SUM(S283:V283)</f>
        <v>668608.9299999999</v>
      </c>
      <c r="S283" s="85">
        <f>250000+12784.25</f>
        <v>262784.25</v>
      </c>
      <c r="T283" s="86">
        <f>160000</f>
        <v>160000</v>
      </c>
      <c r="U283" s="86">
        <f>80000-5524</f>
        <v>74476</v>
      </c>
      <c r="V283" s="85">
        <f>240400-61080-14535.45+6564.13</f>
        <v>171348.68</v>
      </c>
      <c r="W283" s="105">
        <v>759700</v>
      </c>
      <c r="X283" s="102">
        <v>772800</v>
      </c>
      <c r="Y283" s="64">
        <f t="shared" si="99"/>
        <v>668608.9299999999</v>
      </c>
      <c r="Z283" s="28">
        <f t="shared" si="119"/>
        <v>0</v>
      </c>
    </row>
    <row r="284" spans="1:26" ht="12.75">
      <c r="A284" s="192" t="s">
        <v>330</v>
      </c>
      <c r="B284" s="193"/>
      <c r="C284" s="193"/>
      <c r="D284" s="193"/>
      <c r="E284" s="193"/>
      <c r="F284" s="194"/>
      <c r="G284" s="216" t="s">
        <v>41</v>
      </c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49">
        <f>SUM(S284:V284)</f>
        <v>516280.79000000004</v>
      </c>
      <c r="S284" s="85">
        <f>150000-12784.25</f>
        <v>137215.75</v>
      </c>
      <c r="T284" s="86">
        <f>150000-71450.04</f>
        <v>78549.96</v>
      </c>
      <c r="U284" s="86">
        <f>150000-1385.58</f>
        <v>148614.42</v>
      </c>
      <c r="V284" s="85">
        <f>150000-6715.96+8616.62</f>
        <v>151900.66</v>
      </c>
      <c r="W284" s="105">
        <v>620000</v>
      </c>
      <c r="X284" s="102">
        <v>640000</v>
      </c>
      <c r="Y284" s="64">
        <f t="shared" si="99"/>
        <v>516280.79000000004</v>
      </c>
      <c r="Z284" s="28">
        <f t="shared" si="119"/>
        <v>0</v>
      </c>
    </row>
    <row r="285" spans="1:26" ht="12.75" hidden="1">
      <c r="A285" s="192" t="s">
        <v>331</v>
      </c>
      <c r="B285" s="193"/>
      <c r="C285" s="193"/>
      <c r="D285" s="193"/>
      <c r="E285" s="193"/>
      <c r="F285" s="194"/>
      <c r="G285" s="216" t="s">
        <v>42</v>
      </c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49">
        <f>SUM(S285:V285)</f>
        <v>0</v>
      </c>
      <c r="S285" s="85">
        <v>0</v>
      </c>
      <c r="T285" s="86">
        <v>0</v>
      </c>
      <c r="U285" s="86">
        <v>0</v>
      </c>
      <c r="V285" s="85">
        <v>0</v>
      </c>
      <c r="W285" s="105">
        <v>0</v>
      </c>
      <c r="X285" s="102">
        <v>0</v>
      </c>
      <c r="Y285" s="64">
        <f t="shared" si="99"/>
        <v>0</v>
      </c>
      <c r="Z285" s="28">
        <f t="shared" si="119"/>
        <v>0</v>
      </c>
    </row>
    <row r="286" spans="1:26" ht="12.75">
      <c r="A286" s="192" t="s">
        <v>332</v>
      </c>
      <c r="B286" s="193"/>
      <c r="C286" s="193"/>
      <c r="D286" s="193"/>
      <c r="E286" s="193"/>
      <c r="F286" s="194"/>
      <c r="G286" s="224" t="s">
        <v>70</v>
      </c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  <c r="R286" s="49">
        <f>SUM(S286:V286)</f>
        <v>72835.62</v>
      </c>
      <c r="S286" s="85">
        <v>0</v>
      </c>
      <c r="T286" s="86">
        <f>72835.62</f>
        <v>72835.62</v>
      </c>
      <c r="U286" s="86">
        <v>0</v>
      </c>
      <c r="V286" s="85">
        <v>0</v>
      </c>
      <c r="W286" s="105">
        <v>0</v>
      </c>
      <c r="X286" s="102">
        <v>0</v>
      </c>
      <c r="Y286" s="64">
        <f t="shared" si="99"/>
        <v>72835.62</v>
      </c>
      <c r="Z286" s="28">
        <f t="shared" si="119"/>
        <v>0</v>
      </c>
    </row>
    <row r="287" spans="1:26" s="3" customFormat="1" ht="36" customHeight="1" hidden="1">
      <c r="A287" s="198" t="s">
        <v>129</v>
      </c>
      <c r="B287" s="199"/>
      <c r="C287" s="199"/>
      <c r="D287" s="199"/>
      <c r="E287" s="199"/>
      <c r="F287" s="200"/>
      <c r="G287" s="312" t="s">
        <v>204</v>
      </c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47">
        <f>R288</f>
        <v>0</v>
      </c>
      <c r="S287" s="77">
        <f aca="true" t="shared" si="122" ref="S287:X287">S288</f>
        <v>0</v>
      </c>
      <c r="T287" s="30">
        <f t="shared" si="122"/>
        <v>0</v>
      </c>
      <c r="U287" s="30">
        <f>U288</f>
        <v>0</v>
      </c>
      <c r="V287" s="77">
        <f t="shared" si="122"/>
        <v>0</v>
      </c>
      <c r="W287" s="47">
        <f t="shared" si="122"/>
        <v>0</v>
      </c>
      <c r="X287" s="98">
        <f t="shared" si="122"/>
        <v>0</v>
      </c>
      <c r="Y287" s="64">
        <f t="shared" si="99"/>
        <v>0</v>
      </c>
      <c r="Z287" s="28">
        <f t="shared" si="119"/>
        <v>0</v>
      </c>
    </row>
    <row r="288" spans="1:26" ht="15.75" customHeight="1" hidden="1">
      <c r="A288" s="228" t="s">
        <v>130</v>
      </c>
      <c r="B288" s="229"/>
      <c r="C288" s="229"/>
      <c r="D288" s="229"/>
      <c r="E288" s="229"/>
      <c r="F288" s="230"/>
      <c r="G288" s="279" t="s">
        <v>32</v>
      </c>
      <c r="H288" s="280"/>
      <c r="I288" s="280"/>
      <c r="J288" s="280"/>
      <c r="K288" s="280"/>
      <c r="L288" s="280"/>
      <c r="M288" s="280"/>
      <c r="N288" s="280"/>
      <c r="O288" s="280"/>
      <c r="P288" s="280"/>
      <c r="Q288" s="280"/>
      <c r="R288" s="48">
        <f aca="true" t="shared" si="123" ref="R288:X288">SUM(R289:R292)</f>
        <v>0</v>
      </c>
      <c r="S288" s="54">
        <f>SUM(S289:S292)</f>
        <v>0</v>
      </c>
      <c r="T288" s="31">
        <f t="shared" si="123"/>
        <v>0</v>
      </c>
      <c r="U288" s="31">
        <f t="shared" si="123"/>
        <v>0</v>
      </c>
      <c r="V288" s="54">
        <f t="shared" si="123"/>
        <v>0</v>
      </c>
      <c r="W288" s="48">
        <f t="shared" si="123"/>
        <v>0</v>
      </c>
      <c r="X288" s="99">
        <f t="shared" si="123"/>
        <v>0</v>
      </c>
      <c r="Y288" s="64">
        <f t="shared" si="99"/>
        <v>0</v>
      </c>
      <c r="Z288" s="28">
        <f t="shared" si="119"/>
        <v>0</v>
      </c>
    </row>
    <row r="289" spans="1:26" ht="16.5" customHeight="1" hidden="1">
      <c r="A289" s="228" t="s">
        <v>131</v>
      </c>
      <c r="B289" s="229"/>
      <c r="C289" s="229"/>
      <c r="D289" s="229"/>
      <c r="E289" s="229"/>
      <c r="F289" s="230"/>
      <c r="G289" s="279" t="s">
        <v>39</v>
      </c>
      <c r="H289" s="280"/>
      <c r="I289" s="280"/>
      <c r="J289" s="280"/>
      <c r="K289" s="280"/>
      <c r="L289" s="280"/>
      <c r="M289" s="280"/>
      <c r="N289" s="280"/>
      <c r="O289" s="280"/>
      <c r="P289" s="280"/>
      <c r="Q289" s="280"/>
      <c r="R289" s="49">
        <f>SUM(S289:V289)</f>
        <v>0</v>
      </c>
      <c r="S289" s="82"/>
      <c r="T289" s="83"/>
      <c r="U289" s="83"/>
      <c r="V289" s="82"/>
      <c r="W289" s="84"/>
      <c r="X289" s="100"/>
      <c r="Y289" s="64">
        <f t="shared" si="99"/>
        <v>0</v>
      </c>
      <c r="Z289" s="28">
        <f t="shared" si="119"/>
        <v>0</v>
      </c>
    </row>
    <row r="290" spans="1:26" ht="16.5" customHeight="1" hidden="1">
      <c r="A290" s="228" t="s">
        <v>132</v>
      </c>
      <c r="B290" s="229"/>
      <c r="C290" s="229"/>
      <c r="D290" s="229"/>
      <c r="E290" s="229"/>
      <c r="F290" s="230"/>
      <c r="G290" s="279" t="s">
        <v>41</v>
      </c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49">
        <f>SUM(S290:V290)</f>
        <v>0</v>
      </c>
      <c r="S290" s="82"/>
      <c r="T290" s="83"/>
      <c r="U290" s="83"/>
      <c r="V290" s="82"/>
      <c r="W290" s="84"/>
      <c r="X290" s="100"/>
      <c r="Y290" s="64">
        <f t="shared" si="99"/>
        <v>0</v>
      </c>
      <c r="Z290" s="28">
        <f t="shared" si="119"/>
        <v>0</v>
      </c>
    </row>
    <row r="291" spans="1:26" ht="16.5" customHeight="1" hidden="1">
      <c r="A291" s="228" t="s">
        <v>162</v>
      </c>
      <c r="B291" s="229"/>
      <c r="C291" s="229"/>
      <c r="D291" s="229"/>
      <c r="E291" s="229"/>
      <c r="F291" s="230"/>
      <c r="G291" s="279" t="s">
        <v>42</v>
      </c>
      <c r="H291" s="280"/>
      <c r="I291" s="280"/>
      <c r="J291" s="280"/>
      <c r="K291" s="280"/>
      <c r="L291" s="280"/>
      <c r="M291" s="280"/>
      <c r="N291" s="280"/>
      <c r="O291" s="280"/>
      <c r="P291" s="280"/>
      <c r="Q291" s="280"/>
      <c r="R291" s="49">
        <f>SUM(S291:V291)</f>
        <v>0</v>
      </c>
      <c r="S291" s="82"/>
      <c r="T291" s="83"/>
      <c r="U291" s="83"/>
      <c r="V291" s="82"/>
      <c r="W291" s="84"/>
      <c r="X291" s="100"/>
      <c r="Y291" s="64">
        <f t="shared" si="99"/>
        <v>0</v>
      </c>
      <c r="Z291" s="28">
        <f t="shared" si="119"/>
        <v>0</v>
      </c>
    </row>
    <row r="292" spans="1:26" ht="16.5" customHeight="1" hidden="1">
      <c r="A292" s="228" t="s">
        <v>164</v>
      </c>
      <c r="B292" s="229"/>
      <c r="C292" s="229"/>
      <c r="D292" s="229"/>
      <c r="E292" s="229"/>
      <c r="F292" s="230"/>
      <c r="G292" s="279" t="s">
        <v>43</v>
      </c>
      <c r="H292" s="280"/>
      <c r="I292" s="280"/>
      <c r="J292" s="280"/>
      <c r="K292" s="280"/>
      <c r="L292" s="280"/>
      <c r="M292" s="280"/>
      <c r="N292" s="280"/>
      <c r="O292" s="280"/>
      <c r="P292" s="280"/>
      <c r="Q292" s="280"/>
      <c r="R292" s="49">
        <f>SUM(S292:V292)</f>
        <v>0</v>
      </c>
      <c r="S292" s="82"/>
      <c r="T292" s="83"/>
      <c r="U292" s="83"/>
      <c r="V292" s="82"/>
      <c r="W292" s="84"/>
      <c r="X292" s="100"/>
      <c r="Y292" s="64">
        <f t="shared" si="99"/>
        <v>0</v>
      </c>
      <c r="Z292" s="28">
        <f t="shared" si="119"/>
        <v>0</v>
      </c>
    </row>
    <row r="293" spans="1:26" s="3" customFormat="1" ht="12.75" hidden="1">
      <c r="A293" s="198" t="s">
        <v>133</v>
      </c>
      <c r="B293" s="199"/>
      <c r="C293" s="199"/>
      <c r="D293" s="199"/>
      <c r="E293" s="199"/>
      <c r="F293" s="200"/>
      <c r="G293" s="220" t="s">
        <v>52</v>
      </c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47">
        <f>R294</f>
        <v>0</v>
      </c>
      <c r="S293" s="77">
        <f aca="true" t="shared" si="124" ref="S293:X296">S294</f>
        <v>0</v>
      </c>
      <c r="T293" s="30">
        <f t="shared" si="124"/>
        <v>0</v>
      </c>
      <c r="U293" s="30">
        <f t="shared" si="124"/>
        <v>0</v>
      </c>
      <c r="V293" s="77">
        <f t="shared" si="124"/>
        <v>0</v>
      </c>
      <c r="W293" s="47">
        <f t="shared" si="124"/>
        <v>48300</v>
      </c>
      <c r="X293" s="98">
        <f t="shared" si="124"/>
        <v>49400</v>
      </c>
      <c r="Y293" s="64">
        <f t="shared" si="99"/>
        <v>0</v>
      </c>
      <c r="Z293" s="28">
        <f t="shared" si="119"/>
        <v>0</v>
      </c>
    </row>
    <row r="294" spans="1:26" ht="24" customHeight="1" hidden="1">
      <c r="A294" s="192" t="s">
        <v>333</v>
      </c>
      <c r="B294" s="193"/>
      <c r="C294" s="193"/>
      <c r="D294" s="193"/>
      <c r="E294" s="193"/>
      <c r="F294" s="38"/>
      <c r="G294" s="216" t="s">
        <v>189</v>
      </c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48">
        <f>R295</f>
        <v>0</v>
      </c>
      <c r="S294" s="54">
        <f t="shared" si="124"/>
        <v>0</v>
      </c>
      <c r="T294" s="31">
        <f t="shared" si="124"/>
        <v>0</v>
      </c>
      <c r="U294" s="31">
        <f t="shared" si="124"/>
        <v>0</v>
      </c>
      <c r="V294" s="54">
        <f t="shared" si="124"/>
        <v>0</v>
      </c>
      <c r="W294" s="48">
        <f t="shared" si="124"/>
        <v>48300</v>
      </c>
      <c r="X294" s="99">
        <f t="shared" si="124"/>
        <v>49400</v>
      </c>
      <c r="Y294" s="64">
        <f t="shared" si="99"/>
        <v>0</v>
      </c>
      <c r="Z294" s="28">
        <f t="shared" si="119"/>
        <v>0</v>
      </c>
    </row>
    <row r="295" spans="1:26" s="65" customFormat="1" ht="24" customHeight="1" hidden="1">
      <c r="A295" s="192" t="s">
        <v>334</v>
      </c>
      <c r="B295" s="193"/>
      <c r="C295" s="193"/>
      <c r="D295" s="193"/>
      <c r="E295" s="193"/>
      <c r="F295" s="38"/>
      <c r="G295" s="216" t="s">
        <v>190</v>
      </c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48">
        <f>R296</f>
        <v>0</v>
      </c>
      <c r="S295" s="54">
        <f t="shared" si="124"/>
        <v>0</v>
      </c>
      <c r="T295" s="31">
        <f t="shared" si="124"/>
        <v>0</v>
      </c>
      <c r="U295" s="31">
        <f t="shared" si="124"/>
        <v>0</v>
      </c>
      <c r="V295" s="54">
        <f t="shared" si="124"/>
        <v>0</v>
      </c>
      <c r="W295" s="48">
        <f t="shared" si="124"/>
        <v>48300</v>
      </c>
      <c r="X295" s="99">
        <f t="shared" si="124"/>
        <v>49400</v>
      </c>
      <c r="Y295" s="64">
        <f t="shared" si="99"/>
        <v>0</v>
      </c>
      <c r="Z295" s="28">
        <f t="shared" si="119"/>
        <v>0</v>
      </c>
    </row>
    <row r="296" spans="1:26" s="65" customFormat="1" ht="24" customHeight="1" hidden="1">
      <c r="A296" s="192" t="s">
        <v>335</v>
      </c>
      <c r="B296" s="193"/>
      <c r="C296" s="193"/>
      <c r="D296" s="193"/>
      <c r="E296" s="193"/>
      <c r="F296" s="38"/>
      <c r="G296" s="216" t="s">
        <v>191</v>
      </c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48">
        <f>R297</f>
        <v>0</v>
      </c>
      <c r="S296" s="54">
        <f t="shared" si="124"/>
        <v>0</v>
      </c>
      <c r="T296" s="31">
        <f t="shared" si="124"/>
        <v>0</v>
      </c>
      <c r="U296" s="31">
        <f t="shared" si="124"/>
        <v>0</v>
      </c>
      <c r="V296" s="54">
        <f t="shared" si="124"/>
        <v>0</v>
      </c>
      <c r="W296" s="48">
        <f t="shared" si="124"/>
        <v>48300</v>
      </c>
      <c r="X296" s="99">
        <f t="shared" si="124"/>
        <v>49400</v>
      </c>
      <c r="Y296" s="64">
        <f t="shared" si="99"/>
        <v>0</v>
      </c>
      <c r="Z296" s="28">
        <f t="shared" si="119"/>
        <v>0</v>
      </c>
    </row>
    <row r="297" spans="1:26" ht="12.75" hidden="1">
      <c r="A297" s="192" t="s">
        <v>336</v>
      </c>
      <c r="B297" s="193"/>
      <c r="C297" s="193"/>
      <c r="D297" s="193"/>
      <c r="E297" s="193"/>
      <c r="F297" s="194"/>
      <c r="G297" s="216" t="s">
        <v>41</v>
      </c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49">
        <f>SUM(S297:V297)</f>
        <v>0</v>
      </c>
      <c r="S297" s="78">
        <f>11625-11625</f>
        <v>0</v>
      </c>
      <c r="T297" s="32">
        <f>11625-11625</f>
        <v>0</v>
      </c>
      <c r="U297" s="32">
        <f>11625-11625</f>
        <v>0</v>
      </c>
      <c r="V297" s="78">
        <f>11625-3000-8625</f>
        <v>0</v>
      </c>
      <c r="W297" s="49">
        <v>48300</v>
      </c>
      <c r="X297" s="101">
        <v>49400</v>
      </c>
      <c r="Y297" s="64">
        <f t="shared" si="99"/>
        <v>0</v>
      </c>
      <c r="Z297" s="28">
        <f t="shared" si="119"/>
        <v>0</v>
      </c>
    </row>
    <row r="298" spans="1:26" s="3" customFormat="1" ht="12.75">
      <c r="A298" s="198" t="s">
        <v>134</v>
      </c>
      <c r="B298" s="199"/>
      <c r="C298" s="199"/>
      <c r="D298" s="199"/>
      <c r="E298" s="199"/>
      <c r="F298" s="200"/>
      <c r="G298" s="220" t="s">
        <v>53</v>
      </c>
      <c r="H298" s="221"/>
      <c r="I298" s="221"/>
      <c r="J298" s="221"/>
      <c r="K298" s="221"/>
      <c r="L298" s="221"/>
      <c r="M298" s="221"/>
      <c r="N298" s="221"/>
      <c r="O298" s="221"/>
      <c r="P298" s="221"/>
      <c r="Q298" s="221"/>
      <c r="R298" s="47">
        <f>R299</f>
        <v>81084.5</v>
      </c>
      <c r="S298" s="77">
        <f aca="true" t="shared" si="125" ref="S298:X300">S299</f>
        <v>21925</v>
      </c>
      <c r="T298" s="30">
        <f t="shared" si="125"/>
        <v>49541.2</v>
      </c>
      <c r="U298" s="30">
        <f t="shared" si="125"/>
        <v>5010.299999999999</v>
      </c>
      <c r="V298" s="77">
        <f t="shared" si="125"/>
        <v>4608</v>
      </c>
      <c r="W298" s="47">
        <f t="shared" si="125"/>
        <v>108500</v>
      </c>
      <c r="X298" s="98">
        <f t="shared" si="125"/>
        <v>111200</v>
      </c>
      <c r="Y298" s="64">
        <f t="shared" si="99"/>
        <v>81084.5</v>
      </c>
      <c r="Z298" s="28">
        <f t="shared" si="119"/>
        <v>0</v>
      </c>
    </row>
    <row r="299" spans="1:26" ht="24" customHeight="1">
      <c r="A299" s="192" t="s">
        <v>337</v>
      </c>
      <c r="B299" s="193"/>
      <c r="C299" s="193"/>
      <c r="D299" s="193"/>
      <c r="E299" s="193"/>
      <c r="F299" s="38"/>
      <c r="G299" s="216" t="s">
        <v>189</v>
      </c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48">
        <f>R300</f>
        <v>81084.5</v>
      </c>
      <c r="S299" s="54">
        <f t="shared" si="125"/>
        <v>21925</v>
      </c>
      <c r="T299" s="31">
        <f t="shared" si="125"/>
        <v>49541.2</v>
      </c>
      <c r="U299" s="31">
        <f t="shared" si="125"/>
        <v>5010.299999999999</v>
      </c>
      <c r="V299" s="54">
        <f t="shared" si="125"/>
        <v>4608</v>
      </c>
      <c r="W299" s="48">
        <f t="shared" si="125"/>
        <v>108500</v>
      </c>
      <c r="X299" s="99">
        <f t="shared" si="125"/>
        <v>111200</v>
      </c>
      <c r="Y299" s="64">
        <f>SUM(S299:V299)</f>
        <v>81084.5</v>
      </c>
      <c r="Z299" s="28">
        <f t="shared" si="119"/>
        <v>0</v>
      </c>
    </row>
    <row r="300" spans="1:26" s="65" customFormat="1" ht="24" customHeight="1">
      <c r="A300" s="192" t="s">
        <v>338</v>
      </c>
      <c r="B300" s="193"/>
      <c r="C300" s="193"/>
      <c r="D300" s="193"/>
      <c r="E300" s="193"/>
      <c r="F300" s="38"/>
      <c r="G300" s="216" t="s">
        <v>190</v>
      </c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48">
        <f>R301</f>
        <v>81084.5</v>
      </c>
      <c r="S300" s="54">
        <f t="shared" si="125"/>
        <v>21925</v>
      </c>
      <c r="T300" s="31">
        <f t="shared" si="125"/>
        <v>49541.2</v>
      </c>
      <c r="U300" s="31">
        <f t="shared" si="125"/>
        <v>5010.299999999999</v>
      </c>
      <c r="V300" s="54">
        <f t="shared" si="125"/>
        <v>4608</v>
      </c>
      <c r="W300" s="48">
        <f t="shared" si="125"/>
        <v>108500</v>
      </c>
      <c r="X300" s="99">
        <f t="shared" si="125"/>
        <v>111200</v>
      </c>
      <c r="Y300" s="64">
        <f>SUM(S300:V300)</f>
        <v>81084.5</v>
      </c>
      <c r="Z300" s="28">
        <f t="shared" si="119"/>
        <v>0</v>
      </c>
    </row>
    <row r="301" spans="1:26" s="65" customFormat="1" ht="24" customHeight="1">
      <c r="A301" s="192" t="s">
        <v>339</v>
      </c>
      <c r="B301" s="193"/>
      <c r="C301" s="193"/>
      <c r="D301" s="193"/>
      <c r="E301" s="193"/>
      <c r="F301" s="38"/>
      <c r="G301" s="216" t="s">
        <v>191</v>
      </c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48">
        <f>SUM(R302:R305)</f>
        <v>81084.5</v>
      </c>
      <c r="S301" s="54">
        <f aca="true" t="shared" si="126" ref="S301:X301">SUM(S302:S305)</f>
        <v>21925</v>
      </c>
      <c r="T301" s="31">
        <f t="shared" si="126"/>
        <v>49541.2</v>
      </c>
      <c r="U301" s="31">
        <f t="shared" si="126"/>
        <v>5010.299999999999</v>
      </c>
      <c r="V301" s="54">
        <f t="shared" si="126"/>
        <v>4608</v>
      </c>
      <c r="W301" s="48">
        <f t="shared" si="126"/>
        <v>108500</v>
      </c>
      <c r="X301" s="99">
        <f t="shared" si="126"/>
        <v>111200</v>
      </c>
      <c r="Y301" s="64">
        <f>SUM(S301:V301)</f>
        <v>81084.5</v>
      </c>
      <c r="Z301" s="28">
        <f t="shared" si="119"/>
        <v>0</v>
      </c>
    </row>
    <row r="302" spans="1:26" ht="12.75" hidden="1">
      <c r="A302" s="192" t="s">
        <v>340</v>
      </c>
      <c r="B302" s="193"/>
      <c r="C302" s="193"/>
      <c r="D302" s="193"/>
      <c r="E302" s="193"/>
      <c r="F302" s="194"/>
      <c r="G302" s="216" t="s">
        <v>39</v>
      </c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49">
        <f>SUM(S302:V302)</f>
        <v>0</v>
      </c>
      <c r="S302" s="85">
        <f>1250-1250</f>
        <v>0</v>
      </c>
      <c r="T302" s="86">
        <f>1250-1250</f>
        <v>0</v>
      </c>
      <c r="U302" s="86">
        <f>1250-1250</f>
        <v>0</v>
      </c>
      <c r="V302" s="85">
        <f>1250-1250</f>
        <v>0</v>
      </c>
      <c r="W302" s="105">
        <v>5000</v>
      </c>
      <c r="X302" s="102">
        <v>5000</v>
      </c>
      <c r="Y302" s="64">
        <f t="shared" si="99"/>
        <v>0</v>
      </c>
      <c r="Z302" s="28">
        <f t="shared" si="119"/>
        <v>0</v>
      </c>
    </row>
    <row r="303" spans="1:26" ht="12.75">
      <c r="A303" s="192" t="s">
        <v>341</v>
      </c>
      <c r="B303" s="193"/>
      <c r="C303" s="193"/>
      <c r="D303" s="193"/>
      <c r="E303" s="193"/>
      <c r="F303" s="194"/>
      <c r="G303" s="216" t="s">
        <v>41</v>
      </c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49">
        <f>SUM(S303:V303)</f>
        <v>54766.8</v>
      </c>
      <c r="S303" s="85">
        <f>20425</f>
        <v>20425</v>
      </c>
      <c r="T303" s="86">
        <f>27425</f>
        <v>27425</v>
      </c>
      <c r="U303" s="86">
        <f>20425-8000-10116.2</f>
        <v>2308.7999999999993</v>
      </c>
      <c r="V303" s="85">
        <f>20425-575-12425-2817</f>
        <v>4608</v>
      </c>
      <c r="W303" s="105">
        <v>87500</v>
      </c>
      <c r="X303" s="102">
        <v>90200</v>
      </c>
      <c r="Y303" s="64">
        <f t="shared" si="99"/>
        <v>54766.8</v>
      </c>
      <c r="Z303" s="28">
        <f t="shared" si="119"/>
        <v>0</v>
      </c>
    </row>
    <row r="304" spans="1:26" ht="12.75">
      <c r="A304" s="192" t="s">
        <v>342</v>
      </c>
      <c r="B304" s="193"/>
      <c r="C304" s="193"/>
      <c r="D304" s="193"/>
      <c r="E304" s="193"/>
      <c r="F304" s="194"/>
      <c r="G304" s="216" t="s">
        <v>42</v>
      </c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49">
        <f>SUM(S304:V304)</f>
        <v>23116.2</v>
      </c>
      <c r="S304" s="85">
        <v>0</v>
      </c>
      <c r="T304" s="86">
        <f>2500+18116.2</f>
        <v>20616.2</v>
      </c>
      <c r="U304" s="86">
        <f>2500</f>
        <v>2500</v>
      </c>
      <c r="V304" s="85">
        <v>0</v>
      </c>
      <c r="W304" s="105">
        <v>10000</v>
      </c>
      <c r="X304" s="102">
        <v>10000</v>
      </c>
      <c r="Y304" s="64">
        <f t="shared" si="99"/>
        <v>23116.2</v>
      </c>
      <c r="Z304" s="28">
        <f t="shared" si="119"/>
        <v>0</v>
      </c>
    </row>
    <row r="305" spans="1:26" ht="12.75">
      <c r="A305" s="192" t="s">
        <v>343</v>
      </c>
      <c r="B305" s="193"/>
      <c r="C305" s="193"/>
      <c r="D305" s="193"/>
      <c r="E305" s="193"/>
      <c r="F305" s="194"/>
      <c r="G305" s="224" t="s">
        <v>70</v>
      </c>
      <c r="H305" s="225"/>
      <c r="I305" s="225"/>
      <c r="J305" s="225"/>
      <c r="K305" s="225"/>
      <c r="L305" s="225"/>
      <c r="M305" s="225"/>
      <c r="N305" s="225"/>
      <c r="O305" s="225"/>
      <c r="P305" s="225"/>
      <c r="Q305" s="225"/>
      <c r="R305" s="49">
        <f>SUM(S305:V305)</f>
        <v>3201.5</v>
      </c>
      <c r="S305" s="85">
        <f>1500</f>
        <v>1500</v>
      </c>
      <c r="T305" s="86">
        <f>1500</f>
        <v>1500</v>
      </c>
      <c r="U305" s="86">
        <f>1500-1298.5</f>
        <v>201.5</v>
      </c>
      <c r="V305" s="85">
        <f>1500-1500</f>
        <v>0</v>
      </c>
      <c r="W305" s="105">
        <v>6000</v>
      </c>
      <c r="X305" s="102">
        <v>6000</v>
      </c>
      <c r="Y305" s="64">
        <f t="shared" si="99"/>
        <v>3201.5</v>
      </c>
      <c r="Z305" s="28">
        <f t="shared" si="119"/>
        <v>0</v>
      </c>
    </row>
    <row r="306" spans="1:26" s="3" customFormat="1" ht="15.75" customHeight="1">
      <c r="A306" s="198" t="s">
        <v>135</v>
      </c>
      <c r="B306" s="199"/>
      <c r="C306" s="199"/>
      <c r="D306" s="199"/>
      <c r="E306" s="199"/>
      <c r="F306" s="200"/>
      <c r="G306" s="220" t="s">
        <v>54</v>
      </c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47">
        <f>R307</f>
        <v>779697.04</v>
      </c>
      <c r="S306" s="158">
        <f aca="true" t="shared" si="127" ref="S306:X306">S307</f>
        <v>94000</v>
      </c>
      <c r="T306" s="30">
        <f t="shared" si="127"/>
        <v>220605</v>
      </c>
      <c r="U306" s="30">
        <f t="shared" si="127"/>
        <v>368893.14999999997</v>
      </c>
      <c r="V306" s="77">
        <f t="shared" si="127"/>
        <v>96198.89</v>
      </c>
      <c r="W306" s="47">
        <f t="shared" si="127"/>
        <v>475700</v>
      </c>
      <c r="X306" s="98">
        <f t="shared" si="127"/>
        <v>487200</v>
      </c>
      <c r="Y306" s="64">
        <f t="shared" si="99"/>
        <v>779697.0399999999</v>
      </c>
      <c r="Z306" s="28">
        <f aca="true" t="shared" si="128" ref="Z306:Z328">R306-S306-T306-U306-V306</f>
        <v>0</v>
      </c>
    </row>
    <row r="307" spans="1:26" ht="24" customHeight="1">
      <c r="A307" s="192" t="s">
        <v>344</v>
      </c>
      <c r="B307" s="193"/>
      <c r="C307" s="193"/>
      <c r="D307" s="193"/>
      <c r="E307" s="193"/>
      <c r="F307" s="38"/>
      <c r="G307" s="216" t="s">
        <v>189</v>
      </c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48">
        <f>R308</f>
        <v>779697.04</v>
      </c>
      <c r="S307" s="54">
        <f aca="true" t="shared" si="129" ref="S307:X308">S308</f>
        <v>94000</v>
      </c>
      <c r="T307" s="31">
        <f t="shared" si="129"/>
        <v>220605</v>
      </c>
      <c r="U307" s="31">
        <f t="shared" si="129"/>
        <v>368893.14999999997</v>
      </c>
      <c r="V307" s="54">
        <f t="shared" si="129"/>
        <v>96198.89</v>
      </c>
      <c r="W307" s="48">
        <f t="shared" si="129"/>
        <v>475700</v>
      </c>
      <c r="X307" s="99">
        <f t="shared" si="129"/>
        <v>487200</v>
      </c>
      <c r="Y307" s="64">
        <f t="shared" si="99"/>
        <v>779697.0399999999</v>
      </c>
      <c r="Z307" s="28">
        <f t="shared" si="128"/>
        <v>0</v>
      </c>
    </row>
    <row r="308" spans="1:26" s="65" customFormat="1" ht="24" customHeight="1">
      <c r="A308" s="192" t="s">
        <v>345</v>
      </c>
      <c r="B308" s="193"/>
      <c r="C308" s="193"/>
      <c r="D308" s="193"/>
      <c r="E308" s="193"/>
      <c r="F308" s="38"/>
      <c r="G308" s="216" t="s">
        <v>190</v>
      </c>
      <c r="H308" s="217"/>
      <c r="I308" s="217"/>
      <c r="J308" s="217"/>
      <c r="K308" s="217"/>
      <c r="L308" s="217"/>
      <c r="M308" s="217"/>
      <c r="N308" s="217"/>
      <c r="O308" s="217"/>
      <c r="P308" s="217"/>
      <c r="Q308" s="217"/>
      <c r="R308" s="48">
        <f>R309</f>
        <v>779697.04</v>
      </c>
      <c r="S308" s="54">
        <f t="shared" si="129"/>
        <v>94000</v>
      </c>
      <c r="T308" s="31">
        <f t="shared" si="129"/>
        <v>220605</v>
      </c>
      <c r="U308" s="31">
        <f t="shared" si="129"/>
        <v>368893.14999999997</v>
      </c>
      <c r="V308" s="54">
        <f t="shared" si="129"/>
        <v>96198.89</v>
      </c>
      <c r="W308" s="48">
        <f t="shared" si="129"/>
        <v>475700</v>
      </c>
      <c r="X308" s="99">
        <f t="shared" si="129"/>
        <v>487200</v>
      </c>
      <c r="Y308" s="64">
        <f t="shared" si="99"/>
        <v>779697.0399999999</v>
      </c>
      <c r="Z308" s="28">
        <f t="shared" si="128"/>
        <v>0</v>
      </c>
    </row>
    <row r="309" spans="1:26" s="65" customFormat="1" ht="24" customHeight="1">
      <c r="A309" s="192" t="s">
        <v>346</v>
      </c>
      <c r="B309" s="193"/>
      <c r="C309" s="193"/>
      <c r="D309" s="193"/>
      <c r="E309" s="193"/>
      <c r="F309" s="38"/>
      <c r="G309" s="216" t="s">
        <v>191</v>
      </c>
      <c r="H309" s="217"/>
      <c r="I309" s="217"/>
      <c r="J309" s="217"/>
      <c r="K309" s="217"/>
      <c r="L309" s="217"/>
      <c r="M309" s="217"/>
      <c r="N309" s="217"/>
      <c r="O309" s="217"/>
      <c r="P309" s="217"/>
      <c r="Q309" s="217"/>
      <c r="R309" s="48">
        <f>SUM(R310:R316)</f>
        <v>779697.04</v>
      </c>
      <c r="S309" s="54">
        <f aca="true" t="shared" si="130" ref="S309:X309">SUM(S310:S316)</f>
        <v>94000</v>
      </c>
      <c r="T309" s="31">
        <f t="shared" si="130"/>
        <v>220605</v>
      </c>
      <c r="U309" s="31">
        <f t="shared" si="130"/>
        <v>368893.14999999997</v>
      </c>
      <c r="V309" s="54">
        <f t="shared" si="130"/>
        <v>96198.89</v>
      </c>
      <c r="W309" s="48">
        <f t="shared" si="130"/>
        <v>475700</v>
      </c>
      <c r="X309" s="99">
        <f t="shared" si="130"/>
        <v>487200</v>
      </c>
      <c r="Y309" s="64">
        <f t="shared" si="99"/>
        <v>779697.0399999999</v>
      </c>
      <c r="Z309" s="28">
        <f t="shared" si="128"/>
        <v>0</v>
      </c>
    </row>
    <row r="310" spans="1:26" ht="12.75">
      <c r="A310" s="192" t="s">
        <v>347</v>
      </c>
      <c r="B310" s="193"/>
      <c r="C310" s="193"/>
      <c r="D310" s="193"/>
      <c r="E310" s="193"/>
      <c r="F310" s="194"/>
      <c r="G310" s="216" t="s">
        <v>39</v>
      </c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49">
        <f aca="true" t="shared" si="131" ref="R310:R316">SUM(S310:V310)</f>
        <v>96987.63</v>
      </c>
      <c r="S310" s="85">
        <f>11500</f>
        <v>11500</v>
      </c>
      <c r="T310" s="86">
        <f>11500+49000</f>
        <v>60500</v>
      </c>
      <c r="U310" s="86">
        <f>11500</f>
        <v>11500</v>
      </c>
      <c r="V310" s="85">
        <f>11500-5078.25+1276.45+5789.43</f>
        <v>13487.630000000001</v>
      </c>
      <c r="W310" s="105">
        <v>46000</v>
      </c>
      <c r="X310" s="102">
        <v>46000</v>
      </c>
      <c r="Y310" s="64">
        <f t="shared" si="99"/>
        <v>96987.63</v>
      </c>
      <c r="Z310" s="28">
        <f t="shared" si="128"/>
        <v>0</v>
      </c>
    </row>
    <row r="311" spans="1:26" ht="12.75">
      <c r="A311" s="192" t="s">
        <v>348</v>
      </c>
      <c r="B311" s="193"/>
      <c r="C311" s="193"/>
      <c r="D311" s="193"/>
      <c r="E311" s="193"/>
      <c r="F311" s="194"/>
      <c r="G311" s="216" t="s">
        <v>40</v>
      </c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49">
        <f t="shared" si="131"/>
        <v>3702.23</v>
      </c>
      <c r="S311" s="85">
        <v>0</v>
      </c>
      <c r="T311" s="86">
        <v>0</v>
      </c>
      <c r="U311" s="86">
        <f>6000-2297.77</f>
        <v>3702.23</v>
      </c>
      <c r="V311" s="85">
        <v>0</v>
      </c>
      <c r="W311" s="105">
        <v>0</v>
      </c>
      <c r="X311" s="102">
        <v>0</v>
      </c>
      <c r="Y311" s="64">
        <f t="shared" si="99"/>
        <v>3702.23</v>
      </c>
      <c r="Z311" s="28">
        <f t="shared" si="128"/>
        <v>0</v>
      </c>
    </row>
    <row r="312" spans="1:26" ht="12.75">
      <c r="A312" s="192" t="s">
        <v>349</v>
      </c>
      <c r="B312" s="193"/>
      <c r="C312" s="193"/>
      <c r="D312" s="193"/>
      <c r="E312" s="193"/>
      <c r="F312" s="194"/>
      <c r="G312" s="216" t="s">
        <v>41</v>
      </c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49">
        <f t="shared" si="131"/>
        <v>268195.24</v>
      </c>
      <c r="S312" s="85">
        <f>61500</f>
        <v>61500</v>
      </c>
      <c r="T312" s="86">
        <f>61500+100000-40560-47000</f>
        <v>73940</v>
      </c>
      <c r="U312" s="86">
        <f>61500-29200+66510+40000-6510</f>
        <v>132300</v>
      </c>
      <c r="V312" s="85">
        <f>6810.23-6354.99</f>
        <v>455.2399999999998</v>
      </c>
      <c r="W312" s="105">
        <v>253900</v>
      </c>
      <c r="X312" s="102">
        <v>265400</v>
      </c>
      <c r="Y312" s="64">
        <f t="shared" si="99"/>
        <v>268195.24</v>
      </c>
      <c r="Z312" s="28">
        <f t="shared" si="128"/>
        <v>-9.094947017729282E-12</v>
      </c>
    </row>
    <row r="313" spans="1:26" ht="12.75">
      <c r="A313" s="192" t="s">
        <v>350</v>
      </c>
      <c r="B313" s="193"/>
      <c r="C313" s="193"/>
      <c r="D313" s="193"/>
      <c r="E313" s="193"/>
      <c r="F313" s="194"/>
      <c r="G313" s="216" t="s">
        <v>42</v>
      </c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49">
        <f t="shared" si="131"/>
        <v>216372.43</v>
      </c>
      <c r="S313" s="85">
        <f>17750</f>
        <v>17750</v>
      </c>
      <c r="T313" s="86">
        <f>17750+47000</f>
        <v>64750</v>
      </c>
      <c r="U313" s="86">
        <f>17750+22000+11240+52999</f>
        <v>103989</v>
      </c>
      <c r="V313" s="85">
        <f>17750-6510-11240+2100+22535.88-7300.23+6237.21+14500-5789.43-900-1500</f>
        <v>29883.43</v>
      </c>
      <c r="W313" s="105">
        <v>80000</v>
      </c>
      <c r="X313" s="102">
        <v>80000</v>
      </c>
      <c r="Y313" s="64">
        <f t="shared" si="99"/>
        <v>216372.43</v>
      </c>
      <c r="Z313" s="28">
        <f t="shared" si="128"/>
        <v>0</v>
      </c>
    </row>
    <row r="314" spans="1:26" ht="24" customHeight="1" hidden="1">
      <c r="A314" s="192" t="s">
        <v>514</v>
      </c>
      <c r="B314" s="193"/>
      <c r="C314" s="193"/>
      <c r="D314" s="193"/>
      <c r="E314" s="193"/>
      <c r="F314" s="194"/>
      <c r="G314" s="216" t="s">
        <v>205</v>
      </c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49">
        <f t="shared" si="131"/>
        <v>0</v>
      </c>
      <c r="S314" s="85">
        <v>0</v>
      </c>
      <c r="T314" s="86">
        <v>0</v>
      </c>
      <c r="U314" s="86">
        <f>6510-6510</f>
        <v>0</v>
      </c>
      <c r="V314" s="85">
        <v>0</v>
      </c>
      <c r="W314" s="105">
        <v>0</v>
      </c>
      <c r="X314" s="102">
        <v>0</v>
      </c>
      <c r="Y314" s="64"/>
      <c r="Z314" s="28"/>
    </row>
    <row r="315" spans="1:26" ht="12.75">
      <c r="A315" s="192" t="s">
        <v>351</v>
      </c>
      <c r="B315" s="193"/>
      <c r="C315" s="193"/>
      <c r="D315" s="193"/>
      <c r="E315" s="193"/>
      <c r="F315" s="194"/>
      <c r="G315" s="216" t="s">
        <v>43</v>
      </c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49">
        <f t="shared" si="131"/>
        <v>103915</v>
      </c>
      <c r="S315" s="85">
        <v>2250</v>
      </c>
      <c r="T315" s="86">
        <f>7765</f>
        <v>7765</v>
      </c>
      <c r="U315" s="86">
        <f>96060-2160</f>
        <v>93900</v>
      </c>
      <c r="V315" s="85">
        <v>0</v>
      </c>
      <c r="W315" s="105">
        <v>0</v>
      </c>
      <c r="X315" s="102">
        <v>0</v>
      </c>
      <c r="Y315" s="64">
        <f>SUM(S315:V315)</f>
        <v>103915</v>
      </c>
      <c r="Z315" s="28">
        <f t="shared" si="128"/>
        <v>0</v>
      </c>
    </row>
    <row r="316" spans="1:26" ht="12.75">
      <c r="A316" s="192" t="s">
        <v>352</v>
      </c>
      <c r="B316" s="193"/>
      <c r="C316" s="193"/>
      <c r="D316" s="193"/>
      <c r="E316" s="193"/>
      <c r="F316" s="194"/>
      <c r="G316" s="224" t="s">
        <v>70</v>
      </c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49">
        <f t="shared" si="131"/>
        <v>90524.51</v>
      </c>
      <c r="S316" s="85">
        <f>23950-2250-20700</f>
        <v>1000</v>
      </c>
      <c r="T316" s="86">
        <f>23950-14300+4000</f>
        <v>13650</v>
      </c>
      <c r="U316" s="86">
        <f>23950-22000+7200+12025+2326.92</f>
        <v>23501.92</v>
      </c>
      <c r="V316" s="85">
        <f>23950-5240-7765-3400-2326.92+2978.25+29310.95+23700-7513.66-1321.03</f>
        <v>52372.59</v>
      </c>
      <c r="W316" s="105">
        <v>95800</v>
      </c>
      <c r="X316" s="102">
        <v>95800</v>
      </c>
      <c r="Y316" s="64">
        <f>SUM(S316:V316)</f>
        <v>90524.51</v>
      </c>
      <c r="Z316" s="28">
        <f t="shared" si="128"/>
        <v>0</v>
      </c>
    </row>
    <row r="317" spans="1:26" s="3" customFormat="1" ht="12.75">
      <c r="A317" s="198" t="s">
        <v>531</v>
      </c>
      <c r="B317" s="199"/>
      <c r="C317" s="199"/>
      <c r="D317" s="199"/>
      <c r="E317" s="199"/>
      <c r="F317" s="200"/>
      <c r="G317" s="290" t="s">
        <v>95</v>
      </c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47">
        <f>R318</f>
        <v>75866</v>
      </c>
      <c r="S317" s="158">
        <f aca="true" t="shared" si="132" ref="S317:X317">S318</f>
        <v>0</v>
      </c>
      <c r="T317" s="30">
        <f t="shared" si="132"/>
        <v>0</v>
      </c>
      <c r="U317" s="30">
        <f t="shared" si="132"/>
        <v>60712</v>
      </c>
      <c r="V317" s="77">
        <f t="shared" si="132"/>
        <v>15154</v>
      </c>
      <c r="W317" s="47">
        <f t="shared" si="132"/>
        <v>0</v>
      </c>
      <c r="X317" s="98">
        <f t="shared" si="132"/>
        <v>0</v>
      </c>
      <c r="Y317" s="64">
        <f>SUM(S317:V317)</f>
        <v>75866</v>
      </c>
      <c r="Z317" s="28">
        <f>R317-S317-T317-U317-V317</f>
        <v>0</v>
      </c>
    </row>
    <row r="318" spans="1:26" ht="14.25" customHeight="1">
      <c r="A318" s="192" t="s">
        <v>505</v>
      </c>
      <c r="B318" s="193"/>
      <c r="C318" s="193"/>
      <c r="D318" s="193"/>
      <c r="E318" s="193"/>
      <c r="F318" s="194"/>
      <c r="G318" s="224" t="s">
        <v>506</v>
      </c>
      <c r="H318" s="225"/>
      <c r="I318" s="225"/>
      <c r="J318" s="225"/>
      <c r="K318" s="225"/>
      <c r="L318" s="225"/>
      <c r="M318" s="225"/>
      <c r="N318" s="225"/>
      <c r="O318" s="225"/>
      <c r="P318" s="152"/>
      <c r="Q318" s="152"/>
      <c r="R318" s="48">
        <f>R319</f>
        <v>75866</v>
      </c>
      <c r="S318" s="87">
        <f>S319</f>
        <v>0</v>
      </c>
      <c r="T318" s="88">
        <f>T319</f>
        <v>0</v>
      </c>
      <c r="U318" s="88">
        <f>U319</f>
        <v>60712</v>
      </c>
      <c r="V318" s="87">
        <f>V319</f>
        <v>15154</v>
      </c>
      <c r="W318" s="113"/>
      <c r="X318" s="112"/>
      <c r="Y318" s="64"/>
      <c r="Z318" s="28"/>
    </row>
    <row r="319" spans="1:26" ht="26.25" customHeight="1">
      <c r="A319" s="192" t="s">
        <v>504</v>
      </c>
      <c r="B319" s="193"/>
      <c r="C319" s="193"/>
      <c r="D319" s="193"/>
      <c r="E319" s="193"/>
      <c r="F319" s="194"/>
      <c r="G319" s="216" t="s">
        <v>189</v>
      </c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48">
        <f>R320</f>
        <v>75866</v>
      </c>
      <c r="S319" s="54">
        <f aca="true" t="shared" si="133" ref="S319:X321">S320</f>
        <v>0</v>
      </c>
      <c r="T319" s="31">
        <f t="shared" si="133"/>
        <v>0</v>
      </c>
      <c r="U319" s="31">
        <f t="shared" si="133"/>
        <v>60712</v>
      </c>
      <c r="V319" s="54">
        <f t="shared" si="133"/>
        <v>15154</v>
      </c>
      <c r="W319" s="113">
        <f t="shared" si="133"/>
        <v>0</v>
      </c>
      <c r="X319" s="112">
        <f t="shared" si="133"/>
        <v>0</v>
      </c>
      <c r="Y319" s="28">
        <f>SUM(S319:V319)</f>
        <v>75866</v>
      </c>
      <c r="Z319" s="28">
        <f t="shared" si="128"/>
        <v>0</v>
      </c>
    </row>
    <row r="320" spans="1:26" ht="27" customHeight="1">
      <c r="A320" s="192" t="s">
        <v>503</v>
      </c>
      <c r="B320" s="193"/>
      <c r="C320" s="193"/>
      <c r="D320" s="193"/>
      <c r="E320" s="193"/>
      <c r="F320" s="194"/>
      <c r="G320" s="216" t="s">
        <v>190</v>
      </c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48">
        <f>R321</f>
        <v>75866</v>
      </c>
      <c r="S320" s="54">
        <f t="shared" si="133"/>
        <v>0</v>
      </c>
      <c r="T320" s="31">
        <f t="shared" si="133"/>
        <v>0</v>
      </c>
      <c r="U320" s="31">
        <f t="shared" si="133"/>
        <v>60712</v>
      </c>
      <c r="V320" s="54">
        <f t="shared" si="133"/>
        <v>15154</v>
      </c>
      <c r="W320" s="113">
        <f t="shared" si="133"/>
        <v>0</v>
      </c>
      <c r="X320" s="112">
        <f t="shared" si="133"/>
        <v>0</v>
      </c>
      <c r="Y320" s="28">
        <f>SUM(S320:V320)</f>
        <v>75866</v>
      </c>
      <c r="Z320" s="28">
        <f t="shared" si="128"/>
        <v>0</v>
      </c>
    </row>
    <row r="321" spans="1:26" ht="27.75" customHeight="1">
      <c r="A321" s="192" t="s">
        <v>502</v>
      </c>
      <c r="B321" s="193"/>
      <c r="C321" s="193"/>
      <c r="D321" s="193"/>
      <c r="E321" s="193"/>
      <c r="F321" s="194"/>
      <c r="G321" s="216" t="s">
        <v>191</v>
      </c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48">
        <f>R322+R323</f>
        <v>75866</v>
      </c>
      <c r="S321" s="54">
        <f t="shared" si="133"/>
        <v>0</v>
      </c>
      <c r="T321" s="31">
        <f t="shared" si="133"/>
        <v>0</v>
      </c>
      <c r="U321" s="31">
        <f>U322+U323</f>
        <v>60712</v>
      </c>
      <c r="V321" s="54">
        <f t="shared" si="133"/>
        <v>15154</v>
      </c>
      <c r="W321" s="113">
        <f t="shared" si="133"/>
        <v>0</v>
      </c>
      <c r="X321" s="112">
        <f t="shared" si="133"/>
        <v>0</v>
      </c>
      <c r="Y321" s="28">
        <f>SUM(S321:V321)</f>
        <v>75866</v>
      </c>
      <c r="Z321" s="28">
        <f t="shared" si="128"/>
        <v>0</v>
      </c>
    </row>
    <row r="322" spans="1:26" ht="12.75" customHeight="1">
      <c r="A322" s="192" t="s">
        <v>501</v>
      </c>
      <c r="B322" s="193"/>
      <c r="C322" s="193"/>
      <c r="D322" s="193"/>
      <c r="E322" s="193"/>
      <c r="F322" s="194"/>
      <c r="G322" s="216" t="s">
        <v>41</v>
      </c>
      <c r="H322" s="217"/>
      <c r="I322" s="217"/>
      <c r="J322" s="217"/>
      <c r="K322" s="217"/>
      <c r="L322" s="217"/>
      <c r="M322" s="217"/>
      <c r="N322" s="217"/>
      <c r="O322" s="217"/>
      <c r="P322" s="217"/>
      <c r="Q322" s="217"/>
      <c r="R322" s="49">
        <f>SUM(S322:V322)</f>
        <v>49966</v>
      </c>
      <c r="S322" s="85">
        <v>0</v>
      </c>
      <c r="T322" s="86">
        <v>0</v>
      </c>
      <c r="U322" s="86">
        <v>34812</v>
      </c>
      <c r="V322" s="85">
        <f>15154</f>
        <v>15154</v>
      </c>
      <c r="W322" s="105">
        <v>0</v>
      </c>
      <c r="X322" s="102">
        <v>0</v>
      </c>
      <c r="Y322" s="64">
        <f t="shared" si="99"/>
        <v>49966</v>
      </c>
      <c r="Z322" s="28">
        <f t="shared" si="128"/>
        <v>0</v>
      </c>
    </row>
    <row r="323" spans="1:26" ht="12.75" customHeight="1">
      <c r="A323" s="192" t="s">
        <v>500</v>
      </c>
      <c r="B323" s="193"/>
      <c r="C323" s="193"/>
      <c r="D323" s="193"/>
      <c r="E323" s="193"/>
      <c r="F323" s="194"/>
      <c r="G323" s="216" t="s">
        <v>43</v>
      </c>
      <c r="H323" s="217"/>
      <c r="I323" s="217"/>
      <c r="J323" s="217"/>
      <c r="K323" s="217"/>
      <c r="L323" s="217"/>
      <c r="M323" s="217"/>
      <c r="N323" s="217"/>
      <c r="O323" s="217"/>
      <c r="P323" s="217"/>
      <c r="Q323" s="217"/>
      <c r="R323" s="49">
        <f>SUM(S323:V323)</f>
        <v>25900</v>
      </c>
      <c r="S323" s="85">
        <v>0</v>
      </c>
      <c r="T323" s="86">
        <v>0</v>
      </c>
      <c r="U323" s="86">
        <v>25900</v>
      </c>
      <c r="V323" s="85">
        <v>0</v>
      </c>
      <c r="W323" s="105">
        <v>0</v>
      </c>
      <c r="X323" s="102">
        <v>0</v>
      </c>
      <c r="Y323" s="64">
        <f>SUM(S323:V323)</f>
        <v>25900</v>
      </c>
      <c r="Z323" s="28">
        <f>R323-S323-T323-U323-V323</f>
        <v>0</v>
      </c>
    </row>
    <row r="324" spans="1:26" s="4" customFormat="1" ht="12.75">
      <c r="A324" s="201" t="s">
        <v>136</v>
      </c>
      <c r="B324" s="202"/>
      <c r="C324" s="202"/>
      <c r="D324" s="202"/>
      <c r="E324" s="202"/>
      <c r="F324" s="185"/>
      <c r="G324" s="313" t="s">
        <v>69</v>
      </c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4">
        <f>R325</f>
        <v>20000</v>
      </c>
      <c r="S324" s="53">
        <f aca="true" t="shared" si="134" ref="S324:X324">S325</f>
        <v>0</v>
      </c>
      <c r="T324" s="29">
        <f t="shared" si="134"/>
        <v>20000</v>
      </c>
      <c r="U324" s="29">
        <f t="shared" si="134"/>
        <v>0</v>
      </c>
      <c r="V324" s="53">
        <f t="shared" si="134"/>
        <v>0</v>
      </c>
      <c r="W324" s="34">
        <f t="shared" si="134"/>
        <v>0</v>
      </c>
      <c r="X324" s="96">
        <f t="shared" si="134"/>
        <v>0</v>
      </c>
      <c r="Y324" s="64">
        <f t="shared" si="99"/>
        <v>20000</v>
      </c>
      <c r="Z324" s="28">
        <f t="shared" si="128"/>
        <v>0</v>
      </c>
    </row>
    <row r="325" spans="1:26" s="3" customFormat="1" ht="12.75">
      <c r="A325" s="198" t="s">
        <v>137</v>
      </c>
      <c r="B325" s="199"/>
      <c r="C325" s="199"/>
      <c r="D325" s="199"/>
      <c r="E325" s="199"/>
      <c r="F325" s="200"/>
      <c r="G325" s="290" t="s">
        <v>95</v>
      </c>
      <c r="H325" s="291"/>
      <c r="I325" s="291"/>
      <c r="J325" s="291"/>
      <c r="K325" s="291"/>
      <c r="L325" s="291"/>
      <c r="M325" s="291"/>
      <c r="N325" s="291"/>
      <c r="O325" s="291"/>
      <c r="P325" s="291"/>
      <c r="Q325" s="291"/>
      <c r="R325" s="47">
        <f>R326+R331</f>
        <v>20000</v>
      </c>
      <c r="S325" s="77">
        <f aca="true" t="shared" si="135" ref="S325:X325">S326+S331</f>
        <v>0</v>
      </c>
      <c r="T325" s="30">
        <f t="shared" si="135"/>
        <v>20000</v>
      </c>
      <c r="U325" s="30">
        <f t="shared" si="135"/>
        <v>0</v>
      </c>
      <c r="V325" s="77">
        <f t="shared" si="135"/>
        <v>0</v>
      </c>
      <c r="W325" s="47">
        <f t="shared" si="135"/>
        <v>0</v>
      </c>
      <c r="X325" s="98">
        <f t="shared" si="135"/>
        <v>0</v>
      </c>
      <c r="Y325" s="64">
        <f t="shared" si="99"/>
        <v>20000</v>
      </c>
      <c r="Z325" s="28">
        <f t="shared" si="128"/>
        <v>0</v>
      </c>
    </row>
    <row r="326" spans="1:26" ht="24" customHeight="1">
      <c r="A326" s="192" t="s">
        <v>463</v>
      </c>
      <c r="B326" s="193"/>
      <c r="C326" s="193"/>
      <c r="D326" s="193"/>
      <c r="E326" s="193"/>
      <c r="F326" s="38"/>
      <c r="G326" s="216" t="s">
        <v>362</v>
      </c>
      <c r="H326" s="217"/>
      <c r="I326" s="217"/>
      <c r="J326" s="217"/>
      <c r="K326" s="217"/>
      <c r="L326" s="217"/>
      <c r="M326" s="217"/>
      <c r="N326" s="217"/>
      <c r="O326" s="217"/>
      <c r="P326" s="217"/>
      <c r="Q326" s="217"/>
      <c r="R326" s="48">
        <f aca="true" t="shared" si="136" ref="R326:X327">R327</f>
        <v>20000</v>
      </c>
      <c r="S326" s="54">
        <f t="shared" si="136"/>
        <v>0</v>
      </c>
      <c r="T326" s="31">
        <f t="shared" si="136"/>
        <v>20000</v>
      </c>
      <c r="U326" s="31">
        <f t="shared" si="136"/>
        <v>0</v>
      </c>
      <c r="V326" s="54">
        <f t="shared" si="136"/>
        <v>0</v>
      </c>
      <c r="W326" s="48">
        <f t="shared" si="136"/>
        <v>0</v>
      </c>
      <c r="X326" s="99">
        <f t="shared" si="136"/>
        <v>0</v>
      </c>
      <c r="Y326" s="64">
        <f t="shared" si="99"/>
        <v>20000</v>
      </c>
      <c r="Z326" s="28">
        <f t="shared" si="128"/>
        <v>0</v>
      </c>
    </row>
    <row r="327" spans="1:26" s="65" customFormat="1" ht="12.75">
      <c r="A327" s="192" t="s">
        <v>464</v>
      </c>
      <c r="B327" s="193"/>
      <c r="C327" s="193"/>
      <c r="D327" s="193"/>
      <c r="E327" s="193"/>
      <c r="F327" s="38"/>
      <c r="G327" s="216" t="s">
        <v>363</v>
      </c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48">
        <f t="shared" si="136"/>
        <v>20000</v>
      </c>
      <c r="S327" s="54">
        <f t="shared" si="136"/>
        <v>0</v>
      </c>
      <c r="T327" s="31">
        <f t="shared" si="136"/>
        <v>20000</v>
      </c>
      <c r="U327" s="31">
        <f t="shared" si="136"/>
        <v>0</v>
      </c>
      <c r="V327" s="54">
        <f t="shared" si="136"/>
        <v>0</v>
      </c>
      <c r="W327" s="48">
        <f t="shared" si="136"/>
        <v>0</v>
      </c>
      <c r="X327" s="99">
        <f t="shared" si="136"/>
        <v>0</v>
      </c>
      <c r="Y327" s="64">
        <f t="shared" si="99"/>
        <v>20000</v>
      </c>
      <c r="Z327" s="28">
        <f t="shared" si="128"/>
        <v>0</v>
      </c>
    </row>
    <row r="328" spans="1:26" s="65" customFormat="1" ht="24" customHeight="1">
      <c r="A328" s="192" t="s">
        <v>465</v>
      </c>
      <c r="B328" s="193"/>
      <c r="C328" s="193"/>
      <c r="D328" s="193"/>
      <c r="E328" s="193"/>
      <c r="F328" s="38"/>
      <c r="G328" s="216" t="s">
        <v>364</v>
      </c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48">
        <f>R329+R330</f>
        <v>20000</v>
      </c>
      <c r="S328" s="54">
        <f aca="true" t="shared" si="137" ref="S328:X328">S329+S330</f>
        <v>0</v>
      </c>
      <c r="T328" s="31">
        <f t="shared" si="137"/>
        <v>20000</v>
      </c>
      <c r="U328" s="31">
        <f t="shared" si="137"/>
        <v>0</v>
      </c>
      <c r="V328" s="54">
        <f t="shared" si="137"/>
        <v>0</v>
      </c>
      <c r="W328" s="48">
        <f t="shared" si="137"/>
        <v>0</v>
      </c>
      <c r="X328" s="99">
        <f t="shared" si="137"/>
        <v>0</v>
      </c>
      <c r="Y328" s="64">
        <f t="shared" si="99"/>
        <v>20000</v>
      </c>
      <c r="Z328" s="28">
        <f t="shared" si="128"/>
        <v>0</v>
      </c>
    </row>
    <row r="329" spans="1:26" ht="24.75" customHeight="1">
      <c r="A329" s="192" t="s">
        <v>466</v>
      </c>
      <c r="B329" s="193"/>
      <c r="C329" s="193"/>
      <c r="D329" s="193"/>
      <c r="E329" s="193"/>
      <c r="F329" s="194"/>
      <c r="G329" s="216" t="s">
        <v>205</v>
      </c>
      <c r="H329" s="217"/>
      <c r="I329" s="217"/>
      <c r="J329" s="217"/>
      <c r="K329" s="217"/>
      <c r="L329" s="217"/>
      <c r="M329" s="217"/>
      <c r="N329" s="217"/>
      <c r="O329" s="217"/>
      <c r="P329" s="217"/>
      <c r="Q329" s="217"/>
      <c r="R329" s="49">
        <f>SUM(S329:V329)</f>
        <v>20000</v>
      </c>
      <c r="S329" s="85">
        <v>0</v>
      </c>
      <c r="T329" s="86">
        <f>20000</f>
        <v>20000</v>
      </c>
      <c r="U329" s="86">
        <v>0</v>
      </c>
      <c r="V329" s="85">
        <v>0</v>
      </c>
      <c r="W329" s="105">
        <v>0</v>
      </c>
      <c r="X329" s="102">
        <v>0</v>
      </c>
      <c r="Y329" s="64">
        <f>SUM(S329:V329)</f>
        <v>20000</v>
      </c>
      <c r="Z329" s="28">
        <f aca="true" t="shared" si="138" ref="Z329:Z335">R329-S329-T329-U329-V329</f>
        <v>0</v>
      </c>
    </row>
    <row r="330" spans="1:26" ht="12.75" hidden="1">
      <c r="A330" s="192" t="s">
        <v>356</v>
      </c>
      <c r="B330" s="193"/>
      <c r="C330" s="193"/>
      <c r="D330" s="193"/>
      <c r="E330" s="193"/>
      <c r="F330" s="194"/>
      <c r="G330" s="224" t="s">
        <v>70</v>
      </c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  <c r="R330" s="49">
        <f>SUM(S330:V330)</f>
        <v>0</v>
      </c>
      <c r="S330" s="85">
        <v>0</v>
      </c>
      <c r="T330" s="86">
        <v>0</v>
      </c>
      <c r="U330" s="86">
        <v>0</v>
      </c>
      <c r="V330" s="85">
        <v>0</v>
      </c>
      <c r="W330" s="105">
        <v>0</v>
      </c>
      <c r="X330" s="102">
        <v>0</v>
      </c>
      <c r="Y330" s="64">
        <f>SUM(S330:V330)</f>
        <v>0</v>
      </c>
      <c r="Z330" s="28">
        <f t="shared" si="138"/>
        <v>0</v>
      </c>
    </row>
    <row r="331" spans="1:26" ht="24" customHeight="1" hidden="1">
      <c r="A331" s="192" t="s">
        <v>353</v>
      </c>
      <c r="B331" s="193"/>
      <c r="C331" s="193"/>
      <c r="D331" s="193"/>
      <c r="E331" s="193"/>
      <c r="F331" s="38"/>
      <c r="G331" s="216" t="s">
        <v>189</v>
      </c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48">
        <f>R332</f>
        <v>0</v>
      </c>
      <c r="S331" s="87">
        <f aca="true" t="shared" si="139" ref="S331:X332">S332</f>
        <v>0</v>
      </c>
      <c r="T331" s="88">
        <f t="shared" si="139"/>
        <v>0</v>
      </c>
      <c r="U331" s="88">
        <f t="shared" si="139"/>
        <v>0</v>
      </c>
      <c r="V331" s="87">
        <f t="shared" si="139"/>
        <v>0</v>
      </c>
      <c r="W331" s="113">
        <f t="shared" si="139"/>
        <v>0</v>
      </c>
      <c r="X331" s="112">
        <f t="shared" si="139"/>
        <v>0</v>
      </c>
      <c r="Y331" s="64">
        <f>SUM(S331:V331)</f>
        <v>0</v>
      </c>
      <c r="Z331" s="28">
        <f t="shared" si="138"/>
        <v>0</v>
      </c>
    </row>
    <row r="332" spans="1:26" s="65" customFormat="1" ht="24" customHeight="1" hidden="1">
      <c r="A332" s="192" t="s">
        <v>354</v>
      </c>
      <c r="B332" s="193"/>
      <c r="C332" s="193"/>
      <c r="D332" s="193"/>
      <c r="E332" s="193"/>
      <c r="F332" s="38"/>
      <c r="G332" s="216" t="s">
        <v>190</v>
      </c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48">
        <f>R333</f>
        <v>0</v>
      </c>
      <c r="S332" s="87">
        <f t="shared" si="139"/>
        <v>0</v>
      </c>
      <c r="T332" s="88">
        <f t="shared" si="139"/>
        <v>0</v>
      </c>
      <c r="U332" s="88">
        <f t="shared" si="139"/>
        <v>0</v>
      </c>
      <c r="V332" s="87">
        <f t="shared" si="139"/>
        <v>0</v>
      </c>
      <c r="W332" s="113">
        <f t="shared" si="139"/>
        <v>0</v>
      </c>
      <c r="X332" s="112">
        <f t="shared" si="139"/>
        <v>0</v>
      </c>
      <c r="Y332" s="64">
        <f>SUM(S332:V332)</f>
        <v>0</v>
      </c>
      <c r="Z332" s="28">
        <f t="shared" si="138"/>
        <v>0</v>
      </c>
    </row>
    <row r="333" spans="1:26" s="65" customFormat="1" ht="24" customHeight="1" hidden="1">
      <c r="A333" s="192" t="s">
        <v>355</v>
      </c>
      <c r="B333" s="193"/>
      <c r="C333" s="193"/>
      <c r="D333" s="193"/>
      <c r="E333" s="193"/>
      <c r="F333" s="38"/>
      <c r="G333" s="216" t="s">
        <v>191</v>
      </c>
      <c r="H333" s="217"/>
      <c r="I333" s="217"/>
      <c r="J333" s="217"/>
      <c r="K333" s="217"/>
      <c r="L333" s="217"/>
      <c r="M333" s="217"/>
      <c r="N333" s="217"/>
      <c r="O333" s="217"/>
      <c r="P333" s="217"/>
      <c r="Q333" s="217"/>
      <c r="R333" s="48">
        <f>R334+R335</f>
        <v>0</v>
      </c>
      <c r="S333" s="87">
        <f aca="true" t="shared" si="140" ref="S333:X333">S334+S335</f>
        <v>0</v>
      </c>
      <c r="T333" s="88">
        <f t="shared" si="140"/>
        <v>0</v>
      </c>
      <c r="U333" s="88">
        <f t="shared" si="140"/>
        <v>0</v>
      </c>
      <c r="V333" s="87">
        <f t="shared" si="140"/>
        <v>0</v>
      </c>
      <c r="W333" s="113">
        <f t="shared" si="140"/>
        <v>0</v>
      </c>
      <c r="X333" s="112">
        <f t="shared" si="140"/>
        <v>0</v>
      </c>
      <c r="Y333" s="64">
        <f>SUM(S333:V333)</f>
        <v>0</v>
      </c>
      <c r="Z333" s="28">
        <f t="shared" si="138"/>
        <v>0</v>
      </c>
    </row>
    <row r="334" spans="1:26" ht="12.75" hidden="1">
      <c r="A334" s="192" t="s">
        <v>357</v>
      </c>
      <c r="B334" s="193"/>
      <c r="C334" s="193"/>
      <c r="D334" s="193"/>
      <c r="E334" s="193"/>
      <c r="F334" s="194"/>
      <c r="G334" s="216" t="s">
        <v>43</v>
      </c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49">
        <f>SUM(S334:V334)</f>
        <v>0</v>
      </c>
      <c r="S334" s="85">
        <v>0</v>
      </c>
      <c r="T334" s="86">
        <v>0</v>
      </c>
      <c r="U334" s="86">
        <v>0</v>
      </c>
      <c r="V334" s="85">
        <v>0</v>
      </c>
      <c r="W334" s="105">
        <v>0</v>
      </c>
      <c r="X334" s="102">
        <v>0</v>
      </c>
      <c r="Y334" s="64">
        <f t="shared" si="99"/>
        <v>0</v>
      </c>
      <c r="Z334" s="28">
        <f t="shared" si="138"/>
        <v>0</v>
      </c>
    </row>
    <row r="335" spans="1:26" ht="12.75" hidden="1">
      <c r="A335" s="192" t="s">
        <v>358</v>
      </c>
      <c r="B335" s="193"/>
      <c r="C335" s="193"/>
      <c r="D335" s="193"/>
      <c r="E335" s="193"/>
      <c r="F335" s="194"/>
      <c r="G335" s="224" t="s">
        <v>70</v>
      </c>
      <c r="H335" s="225"/>
      <c r="I335" s="225"/>
      <c r="J335" s="225"/>
      <c r="K335" s="225"/>
      <c r="L335" s="225"/>
      <c r="M335" s="225"/>
      <c r="N335" s="225"/>
      <c r="O335" s="225"/>
      <c r="P335" s="225"/>
      <c r="Q335" s="225"/>
      <c r="R335" s="49">
        <f>SUM(S335:V335)</f>
        <v>0</v>
      </c>
      <c r="S335" s="85">
        <v>0</v>
      </c>
      <c r="T335" s="86">
        <v>0</v>
      </c>
      <c r="U335" s="86">
        <v>0</v>
      </c>
      <c r="V335" s="85">
        <v>0</v>
      </c>
      <c r="W335" s="105">
        <v>0</v>
      </c>
      <c r="X335" s="102">
        <v>0</v>
      </c>
      <c r="Y335" s="64">
        <f>SUM(S335:V335)</f>
        <v>0</v>
      </c>
      <c r="Z335" s="28">
        <f t="shared" si="138"/>
        <v>0</v>
      </c>
    </row>
    <row r="336" spans="1:26" s="4" customFormat="1" ht="12.75">
      <c r="A336" s="201" t="s">
        <v>138</v>
      </c>
      <c r="B336" s="202"/>
      <c r="C336" s="202"/>
      <c r="D336" s="202"/>
      <c r="E336" s="202"/>
      <c r="F336" s="185"/>
      <c r="G336" s="182" t="s">
        <v>55</v>
      </c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34">
        <f>R337</f>
        <v>7311777.600000001</v>
      </c>
      <c r="S336" s="53">
        <f aca="true" t="shared" si="141" ref="S336:X336">S337</f>
        <v>1652000</v>
      </c>
      <c r="T336" s="29">
        <f t="shared" si="141"/>
        <v>2569800</v>
      </c>
      <c r="U336" s="29">
        <f t="shared" si="141"/>
        <v>1521800</v>
      </c>
      <c r="V336" s="53">
        <f t="shared" si="141"/>
        <v>1568177.5999999999</v>
      </c>
      <c r="W336" s="34">
        <f t="shared" si="141"/>
        <v>5526100</v>
      </c>
      <c r="X336" s="96">
        <f t="shared" si="141"/>
        <v>5658800</v>
      </c>
      <c r="Y336" s="64">
        <f t="shared" si="99"/>
        <v>7311777.6</v>
      </c>
      <c r="Z336" s="28">
        <f aca="true" t="shared" si="142" ref="Z336:Z365">R336-S336-T336-U336-V336</f>
        <v>0</v>
      </c>
    </row>
    <row r="337" spans="1:26" s="43" customFormat="1" ht="12.75">
      <c r="A337" s="186" t="s">
        <v>139</v>
      </c>
      <c r="B337" s="181"/>
      <c r="C337" s="181"/>
      <c r="D337" s="181"/>
      <c r="E337" s="181"/>
      <c r="F337" s="41"/>
      <c r="G337" s="222" t="s">
        <v>173</v>
      </c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46">
        <f>R338+R345</f>
        <v>7311777.600000001</v>
      </c>
      <c r="S337" s="75">
        <f aca="true" t="shared" si="143" ref="S337:X337">S338+S345</f>
        <v>1652000</v>
      </c>
      <c r="T337" s="44">
        <f t="shared" si="143"/>
        <v>2569800</v>
      </c>
      <c r="U337" s="44">
        <f t="shared" si="143"/>
        <v>1521800</v>
      </c>
      <c r="V337" s="75">
        <f t="shared" si="143"/>
        <v>1568177.5999999999</v>
      </c>
      <c r="W337" s="46">
        <f t="shared" si="143"/>
        <v>5526100</v>
      </c>
      <c r="X337" s="97">
        <f t="shared" si="143"/>
        <v>5658800</v>
      </c>
      <c r="Y337" s="64">
        <f t="shared" si="99"/>
        <v>7311777.6</v>
      </c>
      <c r="Z337" s="28">
        <f t="shared" si="142"/>
        <v>0</v>
      </c>
    </row>
    <row r="338" spans="1:26" s="3" customFormat="1" ht="12.75">
      <c r="A338" s="198" t="s">
        <v>174</v>
      </c>
      <c r="B338" s="199"/>
      <c r="C338" s="199"/>
      <c r="D338" s="199"/>
      <c r="E338" s="199"/>
      <c r="F338" s="200"/>
      <c r="G338" s="220" t="s">
        <v>172</v>
      </c>
      <c r="H338" s="221"/>
      <c r="I338" s="221"/>
      <c r="J338" s="221"/>
      <c r="K338" s="221"/>
      <c r="L338" s="221"/>
      <c r="M338" s="221"/>
      <c r="N338" s="221"/>
      <c r="O338" s="221"/>
      <c r="P338" s="221"/>
      <c r="Q338" s="221"/>
      <c r="R338" s="47">
        <f>R339</f>
        <v>182200</v>
      </c>
      <c r="S338" s="77">
        <f aca="true" t="shared" si="144" ref="S338:X343">S339</f>
        <v>25000</v>
      </c>
      <c r="T338" s="30">
        <f t="shared" si="144"/>
        <v>45000</v>
      </c>
      <c r="U338" s="30">
        <f t="shared" si="144"/>
        <v>20000</v>
      </c>
      <c r="V338" s="77">
        <f t="shared" si="144"/>
        <v>92200</v>
      </c>
      <c r="W338" s="47">
        <f t="shared" si="144"/>
        <v>90400</v>
      </c>
      <c r="X338" s="98">
        <f t="shared" si="144"/>
        <v>92600</v>
      </c>
      <c r="Y338" s="64">
        <f t="shared" si="99"/>
        <v>182200</v>
      </c>
      <c r="Z338" s="28">
        <f t="shared" si="142"/>
        <v>0</v>
      </c>
    </row>
    <row r="339" spans="1:26" ht="27" customHeight="1">
      <c r="A339" s="192" t="s">
        <v>365</v>
      </c>
      <c r="B339" s="193"/>
      <c r="C339" s="193"/>
      <c r="D339" s="193"/>
      <c r="E339" s="193"/>
      <c r="F339" s="194"/>
      <c r="G339" s="216" t="s">
        <v>362</v>
      </c>
      <c r="H339" s="217"/>
      <c r="I339" s="217"/>
      <c r="J339" s="217"/>
      <c r="K339" s="217"/>
      <c r="L339" s="217"/>
      <c r="M339" s="217"/>
      <c r="N339" s="217"/>
      <c r="O339" s="217"/>
      <c r="P339" s="217"/>
      <c r="Q339" s="217"/>
      <c r="R339" s="48">
        <f>R340</f>
        <v>182200</v>
      </c>
      <c r="S339" s="54">
        <f t="shared" si="144"/>
        <v>25000</v>
      </c>
      <c r="T339" s="31">
        <f t="shared" si="144"/>
        <v>45000</v>
      </c>
      <c r="U339" s="31">
        <f t="shared" si="144"/>
        <v>20000</v>
      </c>
      <c r="V339" s="54">
        <f t="shared" si="144"/>
        <v>92200</v>
      </c>
      <c r="W339" s="48">
        <f t="shared" si="144"/>
        <v>90400</v>
      </c>
      <c r="X339" s="99">
        <f t="shared" si="144"/>
        <v>92600</v>
      </c>
      <c r="Y339" s="64">
        <f t="shared" si="99"/>
        <v>182200</v>
      </c>
      <c r="Z339" s="28">
        <f t="shared" si="142"/>
        <v>0</v>
      </c>
    </row>
    <row r="340" spans="1:26" ht="12.75">
      <c r="A340" s="192" t="s">
        <v>366</v>
      </c>
      <c r="B340" s="193"/>
      <c r="C340" s="193"/>
      <c r="D340" s="193"/>
      <c r="E340" s="193"/>
      <c r="F340" s="194"/>
      <c r="G340" s="216" t="s">
        <v>363</v>
      </c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48">
        <f>R341+R343</f>
        <v>182200</v>
      </c>
      <c r="S340" s="151">
        <f aca="true" t="shared" si="145" ref="S340:X340">S341+S343</f>
        <v>25000</v>
      </c>
      <c r="T340" s="31">
        <f t="shared" si="145"/>
        <v>45000</v>
      </c>
      <c r="U340" s="31">
        <f t="shared" si="145"/>
        <v>20000</v>
      </c>
      <c r="V340" s="54">
        <f t="shared" si="145"/>
        <v>92200</v>
      </c>
      <c r="W340" s="48">
        <f t="shared" si="145"/>
        <v>90400</v>
      </c>
      <c r="X340" s="99">
        <f t="shared" si="145"/>
        <v>92600</v>
      </c>
      <c r="Y340" s="64">
        <f t="shared" si="99"/>
        <v>182200</v>
      </c>
      <c r="Z340" s="28">
        <f t="shared" si="142"/>
        <v>0</v>
      </c>
    </row>
    <row r="341" spans="1:26" ht="35.25" customHeight="1">
      <c r="A341" s="192" t="s">
        <v>367</v>
      </c>
      <c r="B341" s="193"/>
      <c r="C341" s="193"/>
      <c r="D341" s="193"/>
      <c r="E341" s="193"/>
      <c r="F341" s="194"/>
      <c r="G341" s="216" t="s">
        <v>364</v>
      </c>
      <c r="H341" s="217"/>
      <c r="I341" s="217"/>
      <c r="J341" s="217"/>
      <c r="K341" s="217"/>
      <c r="L341" s="217"/>
      <c r="M341" s="217"/>
      <c r="N341" s="217"/>
      <c r="O341" s="217"/>
      <c r="P341" s="217"/>
      <c r="Q341" s="217"/>
      <c r="R341" s="48">
        <f>R342</f>
        <v>182200</v>
      </c>
      <c r="S341" s="54">
        <f t="shared" si="144"/>
        <v>25000</v>
      </c>
      <c r="T341" s="31">
        <f t="shared" si="144"/>
        <v>45000</v>
      </c>
      <c r="U341" s="31">
        <f t="shared" si="144"/>
        <v>20000</v>
      </c>
      <c r="V341" s="54">
        <f t="shared" si="144"/>
        <v>92200</v>
      </c>
      <c r="W341" s="48">
        <f t="shared" si="144"/>
        <v>90400</v>
      </c>
      <c r="X341" s="99">
        <f t="shared" si="144"/>
        <v>92600</v>
      </c>
      <c r="Y341" s="64">
        <f t="shared" si="99"/>
        <v>182200</v>
      </c>
      <c r="Z341" s="28">
        <f t="shared" si="142"/>
        <v>0</v>
      </c>
    </row>
    <row r="342" spans="1:26" ht="24" customHeight="1">
      <c r="A342" s="192" t="s">
        <v>368</v>
      </c>
      <c r="B342" s="193"/>
      <c r="C342" s="193"/>
      <c r="D342" s="193"/>
      <c r="E342" s="193"/>
      <c r="F342" s="194"/>
      <c r="G342" s="216" t="s">
        <v>205</v>
      </c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49">
        <f>SUM(S342:V342)</f>
        <v>182200</v>
      </c>
      <c r="S342" s="85">
        <f>25000</f>
        <v>25000</v>
      </c>
      <c r="T342" s="86">
        <f>25000+20000</f>
        <v>45000</v>
      </c>
      <c r="U342" s="86">
        <f>5000+15000</f>
        <v>20000</v>
      </c>
      <c r="V342" s="85">
        <f>32200-20000+10000+50000+20000</f>
        <v>92200</v>
      </c>
      <c r="W342" s="105">
        <v>90400</v>
      </c>
      <c r="X342" s="102">
        <v>92600</v>
      </c>
      <c r="Y342" s="64">
        <f t="shared" si="99"/>
        <v>182200</v>
      </c>
      <c r="Z342" s="28">
        <f t="shared" si="142"/>
        <v>0</v>
      </c>
    </row>
    <row r="343" spans="1:26" ht="12.75" hidden="1">
      <c r="A343" s="192" t="s">
        <v>529</v>
      </c>
      <c r="B343" s="193"/>
      <c r="C343" s="193"/>
      <c r="D343" s="193"/>
      <c r="E343" s="193"/>
      <c r="F343" s="194"/>
      <c r="G343" s="216" t="s">
        <v>392</v>
      </c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48">
        <f>R344</f>
        <v>0</v>
      </c>
      <c r="S343" s="54">
        <f t="shared" si="144"/>
        <v>0</v>
      </c>
      <c r="T343" s="31">
        <f t="shared" si="144"/>
        <v>0</v>
      </c>
      <c r="U343" s="31">
        <f t="shared" si="144"/>
        <v>0</v>
      </c>
      <c r="V343" s="54">
        <f t="shared" si="144"/>
        <v>0</v>
      </c>
      <c r="W343" s="48">
        <f t="shared" si="144"/>
        <v>0</v>
      </c>
      <c r="X343" s="99">
        <f t="shared" si="144"/>
        <v>0</v>
      </c>
      <c r="Y343" s="64">
        <f>SUM(S343:V343)</f>
        <v>0</v>
      </c>
      <c r="Z343" s="28">
        <f>R343-S343-T343-U343-V343</f>
        <v>0</v>
      </c>
    </row>
    <row r="344" spans="1:26" ht="24" customHeight="1" hidden="1">
      <c r="A344" s="192" t="s">
        <v>530</v>
      </c>
      <c r="B344" s="193"/>
      <c r="C344" s="193"/>
      <c r="D344" s="193"/>
      <c r="E344" s="193"/>
      <c r="F344" s="194"/>
      <c r="G344" s="216" t="s">
        <v>205</v>
      </c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49">
        <f>SUM(S344:V344)</f>
        <v>0</v>
      </c>
      <c r="S344" s="85">
        <v>0</v>
      </c>
      <c r="T344" s="86">
        <v>0</v>
      </c>
      <c r="U344" s="86">
        <v>0</v>
      </c>
      <c r="V344" s="85">
        <v>0</v>
      </c>
      <c r="W344" s="105">
        <v>0</v>
      </c>
      <c r="X344" s="102">
        <v>0</v>
      </c>
      <c r="Y344" s="64">
        <f>SUM(S344:V344)</f>
        <v>0</v>
      </c>
      <c r="Z344" s="28">
        <f>R344-S344-T344-U344-V344</f>
        <v>0</v>
      </c>
    </row>
    <row r="345" spans="1:26" s="3" customFormat="1" ht="12.75">
      <c r="A345" s="198" t="s">
        <v>140</v>
      </c>
      <c r="B345" s="199"/>
      <c r="C345" s="199"/>
      <c r="D345" s="199"/>
      <c r="E345" s="199"/>
      <c r="F345" s="200"/>
      <c r="G345" s="220" t="s">
        <v>56</v>
      </c>
      <c r="H345" s="221"/>
      <c r="I345" s="221"/>
      <c r="J345" s="221"/>
      <c r="K345" s="221"/>
      <c r="L345" s="221"/>
      <c r="M345" s="221"/>
      <c r="N345" s="221"/>
      <c r="O345" s="221"/>
      <c r="P345" s="221"/>
      <c r="Q345" s="221"/>
      <c r="R345" s="47">
        <f>R346</f>
        <v>7129577.600000001</v>
      </c>
      <c r="S345" s="77">
        <f aca="true" t="shared" si="146" ref="S345:X346">S346</f>
        <v>1627000</v>
      </c>
      <c r="T345" s="30">
        <f t="shared" si="146"/>
        <v>2524800</v>
      </c>
      <c r="U345" s="30">
        <f t="shared" si="146"/>
        <v>1501800</v>
      </c>
      <c r="V345" s="77">
        <f t="shared" si="146"/>
        <v>1475977.5999999999</v>
      </c>
      <c r="W345" s="47">
        <f t="shared" si="146"/>
        <v>5435700</v>
      </c>
      <c r="X345" s="98">
        <f t="shared" si="146"/>
        <v>5566200</v>
      </c>
      <c r="Y345" s="64">
        <f t="shared" si="99"/>
        <v>7129577.6</v>
      </c>
      <c r="Z345" s="28">
        <f t="shared" si="142"/>
        <v>0</v>
      </c>
    </row>
    <row r="346" spans="1:26" ht="24.75" customHeight="1">
      <c r="A346" s="192" t="s">
        <v>359</v>
      </c>
      <c r="B346" s="193"/>
      <c r="C346" s="193"/>
      <c r="D346" s="193"/>
      <c r="E346" s="193"/>
      <c r="F346" s="194"/>
      <c r="G346" s="216" t="s">
        <v>362</v>
      </c>
      <c r="H346" s="217"/>
      <c r="I346" s="217"/>
      <c r="J346" s="217"/>
      <c r="K346" s="217"/>
      <c r="L346" s="217"/>
      <c r="M346" s="217"/>
      <c r="N346" s="217"/>
      <c r="O346" s="217"/>
      <c r="P346" s="217"/>
      <c r="Q346" s="217"/>
      <c r="R346" s="48">
        <f>R347</f>
        <v>7129577.600000001</v>
      </c>
      <c r="S346" s="54">
        <f>S347</f>
        <v>1627000</v>
      </c>
      <c r="T346" s="31">
        <f t="shared" si="146"/>
        <v>2524800</v>
      </c>
      <c r="U346" s="31">
        <f t="shared" si="146"/>
        <v>1501800</v>
      </c>
      <c r="V346" s="54">
        <f t="shared" si="146"/>
        <v>1475977.5999999999</v>
      </c>
      <c r="W346" s="48">
        <f t="shared" si="146"/>
        <v>5435700</v>
      </c>
      <c r="X346" s="99">
        <f t="shared" si="146"/>
        <v>5566200</v>
      </c>
      <c r="Y346" s="64">
        <f t="shared" si="99"/>
        <v>7129577.6</v>
      </c>
      <c r="Z346" s="28">
        <f t="shared" si="142"/>
        <v>0</v>
      </c>
    </row>
    <row r="347" spans="1:26" ht="12.75">
      <c r="A347" s="192" t="s">
        <v>360</v>
      </c>
      <c r="B347" s="193"/>
      <c r="C347" s="193"/>
      <c r="D347" s="193"/>
      <c r="E347" s="193"/>
      <c r="F347" s="194"/>
      <c r="G347" s="216" t="s">
        <v>363</v>
      </c>
      <c r="H347" s="217"/>
      <c r="I347" s="217"/>
      <c r="J347" s="217"/>
      <c r="K347" s="217"/>
      <c r="L347" s="217"/>
      <c r="M347" s="217"/>
      <c r="N347" s="217"/>
      <c r="O347" s="217"/>
      <c r="P347" s="217"/>
      <c r="Q347" s="217"/>
      <c r="R347" s="48">
        <f aca="true" t="shared" si="147" ref="R347:X347">R348+R350</f>
        <v>7129577.600000001</v>
      </c>
      <c r="S347" s="54">
        <f t="shared" si="147"/>
        <v>1627000</v>
      </c>
      <c r="T347" s="31">
        <f t="shared" si="147"/>
        <v>2524800</v>
      </c>
      <c r="U347" s="31">
        <f t="shared" si="147"/>
        <v>1501800</v>
      </c>
      <c r="V347" s="54">
        <f t="shared" si="147"/>
        <v>1475977.5999999999</v>
      </c>
      <c r="W347" s="48">
        <f t="shared" si="147"/>
        <v>5435700</v>
      </c>
      <c r="X347" s="99">
        <f t="shared" si="147"/>
        <v>5566200</v>
      </c>
      <c r="Y347" s="64">
        <f aca="true" t="shared" si="148" ref="Y347:Y352">SUM(S347:V347)</f>
        <v>7129577.6</v>
      </c>
      <c r="Z347" s="28">
        <f t="shared" si="142"/>
        <v>0</v>
      </c>
    </row>
    <row r="348" spans="1:26" ht="35.25" customHeight="1">
      <c r="A348" s="192" t="s">
        <v>361</v>
      </c>
      <c r="B348" s="193"/>
      <c r="C348" s="193"/>
      <c r="D348" s="193"/>
      <c r="E348" s="193"/>
      <c r="F348" s="194"/>
      <c r="G348" s="216" t="s">
        <v>364</v>
      </c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48">
        <f>R349</f>
        <v>6729242.2</v>
      </c>
      <c r="S348" s="54">
        <f aca="true" t="shared" si="149" ref="S348:X348">SUM(S349:S349)</f>
        <v>1627000</v>
      </c>
      <c r="T348" s="31">
        <f t="shared" si="149"/>
        <v>2398800</v>
      </c>
      <c r="U348" s="31">
        <f t="shared" si="149"/>
        <v>1301800</v>
      </c>
      <c r="V348" s="54">
        <f t="shared" si="149"/>
        <v>1401642.2</v>
      </c>
      <c r="W348" s="48">
        <f t="shared" si="149"/>
        <v>5435700</v>
      </c>
      <c r="X348" s="99">
        <f t="shared" si="149"/>
        <v>5566200</v>
      </c>
      <c r="Y348" s="64">
        <f t="shared" si="148"/>
        <v>6729242.2</v>
      </c>
      <c r="Z348" s="28">
        <f t="shared" si="142"/>
        <v>0</v>
      </c>
    </row>
    <row r="349" spans="1:26" ht="24" customHeight="1">
      <c r="A349" s="192" t="s">
        <v>373</v>
      </c>
      <c r="B349" s="193"/>
      <c r="C349" s="193"/>
      <c r="D349" s="193"/>
      <c r="E349" s="193"/>
      <c r="F349" s="194"/>
      <c r="G349" s="216" t="s">
        <v>205</v>
      </c>
      <c r="H349" s="217"/>
      <c r="I349" s="217"/>
      <c r="J349" s="217"/>
      <c r="K349" s="217"/>
      <c r="L349" s="217"/>
      <c r="M349" s="217"/>
      <c r="N349" s="217"/>
      <c r="O349" s="217"/>
      <c r="P349" s="217"/>
      <c r="Q349" s="217"/>
      <c r="R349" s="49">
        <f>SUM(S349:V349)</f>
        <v>6729242.2</v>
      </c>
      <c r="S349" s="85">
        <f>1627000</f>
        <v>1627000</v>
      </c>
      <c r="T349" s="86">
        <f>1989800+250000-20000+241800-62800</f>
        <v>2398800</v>
      </c>
      <c r="U349" s="86">
        <f>1156800-5000+150000</f>
        <v>1301800</v>
      </c>
      <c r="V349" s="85">
        <f>467800-12200-35000+341541.2+570000+69501</f>
        <v>1401642.2</v>
      </c>
      <c r="W349" s="105">
        <v>5435700</v>
      </c>
      <c r="X349" s="102">
        <v>5566200</v>
      </c>
      <c r="Y349" s="64">
        <f t="shared" si="148"/>
        <v>6729242.2</v>
      </c>
      <c r="Z349" s="28">
        <f t="shared" si="142"/>
        <v>0</v>
      </c>
    </row>
    <row r="350" spans="1:26" ht="12.75">
      <c r="A350" s="192" t="s">
        <v>420</v>
      </c>
      <c r="B350" s="193"/>
      <c r="C350" s="193"/>
      <c r="D350" s="193"/>
      <c r="E350" s="193"/>
      <c r="F350" s="194"/>
      <c r="G350" s="216" t="s">
        <v>392</v>
      </c>
      <c r="H350" s="217"/>
      <c r="I350" s="217"/>
      <c r="J350" s="217"/>
      <c r="K350" s="217"/>
      <c r="L350" s="217"/>
      <c r="M350" s="217"/>
      <c r="N350" s="217"/>
      <c r="O350" s="217"/>
      <c r="P350" s="217"/>
      <c r="Q350" s="217"/>
      <c r="R350" s="48">
        <f>R351</f>
        <v>400335.4</v>
      </c>
      <c r="S350" s="54">
        <f aca="true" t="shared" si="150" ref="S350:X350">S351</f>
        <v>0</v>
      </c>
      <c r="T350" s="31">
        <f t="shared" si="150"/>
        <v>126000</v>
      </c>
      <c r="U350" s="31">
        <f t="shared" si="150"/>
        <v>200000</v>
      </c>
      <c r="V350" s="54">
        <f t="shared" si="150"/>
        <v>74335.4</v>
      </c>
      <c r="W350" s="48">
        <f t="shared" si="150"/>
        <v>0</v>
      </c>
      <c r="X350" s="99">
        <f t="shared" si="150"/>
        <v>0</v>
      </c>
      <c r="Y350" s="64">
        <f t="shared" si="148"/>
        <v>400335.4</v>
      </c>
      <c r="Z350" s="28">
        <f t="shared" si="142"/>
        <v>0</v>
      </c>
    </row>
    <row r="351" spans="1:26" ht="24" customHeight="1">
      <c r="A351" s="192" t="s">
        <v>421</v>
      </c>
      <c r="B351" s="193"/>
      <c r="C351" s="193"/>
      <c r="D351" s="193"/>
      <c r="E351" s="193"/>
      <c r="F351" s="194"/>
      <c r="G351" s="216" t="s">
        <v>205</v>
      </c>
      <c r="H351" s="217"/>
      <c r="I351" s="217"/>
      <c r="J351" s="217"/>
      <c r="K351" s="217"/>
      <c r="L351" s="217"/>
      <c r="M351" s="217"/>
      <c r="N351" s="217"/>
      <c r="O351" s="217"/>
      <c r="P351" s="217"/>
      <c r="Q351" s="217"/>
      <c r="R351" s="49">
        <f>SUM(S351:V351)</f>
        <v>400335.4</v>
      </c>
      <c r="S351" s="85">
        <v>0</v>
      </c>
      <c r="T351" s="86">
        <f>46000+80000</f>
        <v>126000</v>
      </c>
      <c r="U351" s="86">
        <v>200000</v>
      </c>
      <c r="V351" s="85">
        <f>30000+44335.4</f>
        <v>74335.4</v>
      </c>
      <c r="W351" s="105">
        <v>0</v>
      </c>
      <c r="X351" s="102">
        <v>0</v>
      </c>
      <c r="Y351" s="64">
        <f t="shared" si="148"/>
        <v>400335.4</v>
      </c>
      <c r="Z351" s="28">
        <f t="shared" si="142"/>
        <v>0</v>
      </c>
    </row>
    <row r="352" spans="1:26" s="4" customFormat="1" ht="16.5" customHeight="1">
      <c r="A352" s="201" t="s">
        <v>141</v>
      </c>
      <c r="B352" s="202"/>
      <c r="C352" s="202"/>
      <c r="D352" s="202"/>
      <c r="E352" s="202"/>
      <c r="F352" s="185"/>
      <c r="G352" s="214" t="s">
        <v>59</v>
      </c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34">
        <f>R356+R353</f>
        <v>79461.12</v>
      </c>
      <c r="S352" s="53">
        <f aca="true" t="shared" si="151" ref="S352:X352">S356+S353</f>
        <v>25200</v>
      </c>
      <c r="T352" s="29">
        <f t="shared" si="151"/>
        <v>25554</v>
      </c>
      <c r="U352" s="29">
        <f t="shared" si="151"/>
        <v>22000</v>
      </c>
      <c r="V352" s="53">
        <f t="shared" si="151"/>
        <v>6707.12</v>
      </c>
      <c r="W352" s="34">
        <f t="shared" si="151"/>
        <v>0</v>
      </c>
      <c r="X352" s="96">
        <f t="shared" si="151"/>
        <v>0</v>
      </c>
      <c r="Y352" s="64">
        <f t="shared" si="148"/>
        <v>79461.12</v>
      </c>
      <c r="Z352" s="28">
        <f t="shared" si="142"/>
        <v>0</v>
      </c>
    </row>
    <row r="353" spans="1:26" s="4" customFormat="1" ht="16.5" customHeight="1" hidden="1">
      <c r="A353" s="198" t="s">
        <v>142</v>
      </c>
      <c r="B353" s="199"/>
      <c r="C353" s="199"/>
      <c r="D353" s="199"/>
      <c r="E353" s="199"/>
      <c r="F353" s="200"/>
      <c r="G353" s="218" t="s">
        <v>60</v>
      </c>
      <c r="H353" s="219"/>
      <c r="I353" s="219"/>
      <c r="J353" s="219"/>
      <c r="K353" s="219"/>
      <c r="L353" s="219"/>
      <c r="M353" s="219"/>
      <c r="N353" s="219"/>
      <c r="O353" s="219"/>
      <c r="P353" s="219"/>
      <c r="Q353" s="219"/>
      <c r="R353" s="47">
        <f>R354</f>
        <v>0</v>
      </c>
      <c r="S353" s="77">
        <f aca="true" t="shared" si="152" ref="S353:X354">S354</f>
        <v>0</v>
      </c>
      <c r="T353" s="30">
        <f t="shared" si="152"/>
        <v>0</v>
      </c>
      <c r="U353" s="30">
        <f t="shared" si="152"/>
        <v>0</v>
      </c>
      <c r="V353" s="77">
        <f t="shared" si="152"/>
        <v>0</v>
      </c>
      <c r="W353" s="47">
        <f t="shared" si="152"/>
        <v>0</v>
      </c>
      <c r="X353" s="98">
        <f t="shared" si="152"/>
        <v>0</v>
      </c>
      <c r="Y353" s="64">
        <f aca="true" t="shared" si="153" ref="Y353:Y361">SUM(S353:V353)</f>
        <v>0</v>
      </c>
      <c r="Z353" s="28">
        <f t="shared" si="142"/>
        <v>0</v>
      </c>
    </row>
    <row r="354" spans="1:26" s="4" customFormat="1" ht="16.5" customHeight="1" hidden="1">
      <c r="A354" s="192" t="s">
        <v>380</v>
      </c>
      <c r="B354" s="193"/>
      <c r="C354" s="193"/>
      <c r="D354" s="193"/>
      <c r="E354" s="193"/>
      <c r="F354" s="194"/>
      <c r="G354" s="206" t="s">
        <v>61</v>
      </c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48">
        <f>R355</f>
        <v>0</v>
      </c>
      <c r="S354" s="54">
        <f t="shared" si="152"/>
        <v>0</v>
      </c>
      <c r="T354" s="31">
        <f t="shared" si="152"/>
        <v>0</v>
      </c>
      <c r="U354" s="31">
        <f t="shared" si="152"/>
        <v>0</v>
      </c>
      <c r="V354" s="54">
        <f t="shared" si="152"/>
        <v>0</v>
      </c>
      <c r="W354" s="48">
        <f t="shared" si="152"/>
        <v>0</v>
      </c>
      <c r="X354" s="99">
        <f t="shared" si="152"/>
        <v>0</v>
      </c>
      <c r="Y354" s="64">
        <f t="shared" si="153"/>
        <v>0</v>
      </c>
      <c r="Z354" s="28">
        <f t="shared" si="142"/>
        <v>0</v>
      </c>
    </row>
    <row r="355" spans="1:26" s="4" customFormat="1" ht="16.5" customHeight="1" hidden="1">
      <c r="A355" s="208" t="s">
        <v>381</v>
      </c>
      <c r="B355" s="209"/>
      <c r="C355" s="209"/>
      <c r="D355" s="209"/>
      <c r="E355" s="209"/>
      <c r="F355" s="210"/>
      <c r="G355" s="175" t="s">
        <v>62</v>
      </c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  <c r="R355" s="49">
        <f>SUM(S355:V355)</f>
        <v>0</v>
      </c>
      <c r="S355" s="82"/>
      <c r="T355" s="83"/>
      <c r="U355" s="83"/>
      <c r="V355" s="82"/>
      <c r="W355" s="84">
        <v>0</v>
      </c>
      <c r="X355" s="100">
        <v>0</v>
      </c>
      <c r="Y355" s="64">
        <f t="shared" si="153"/>
        <v>0</v>
      </c>
      <c r="Z355" s="28">
        <f t="shared" si="142"/>
        <v>0</v>
      </c>
    </row>
    <row r="356" spans="1:26" s="3" customFormat="1" ht="16.5" customHeight="1">
      <c r="A356" s="186" t="s">
        <v>399</v>
      </c>
      <c r="B356" s="181"/>
      <c r="C356" s="181"/>
      <c r="D356" s="181"/>
      <c r="E356" s="181"/>
      <c r="F356" s="211"/>
      <c r="G356" s="212" t="s">
        <v>395</v>
      </c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46">
        <f>R357</f>
        <v>79461.12</v>
      </c>
      <c r="S356" s="75">
        <f>S357</f>
        <v>25200</v>
      </c>
      <c r="T356" s="44">
        <f aca="true" t="shared" si="154" ref="T356:X360">T357</f>
        <v>25554</v>
      </c>
      <c r="U356" s="44">
        <f t="shared" si="154"/>
        <v>22000</v>
      </c>
      <c r="V356" s="75">
        <f t="shared" si="154"/>
        <v>6707.12</v>
      </c>
      <c r="W356" s="46">
        <f t="shared" si="154"/>
        <v>0</v>
      </c>
      <c r="X356" s="97">
        <f t="shared" si="154"/>
        <v>0</v>
      </c>
      <c r="Y356" s="64">
        <f t="shared" si="153"/>
        <v>79461.12</v>
      </c>
      <c r="Z356" s="28">
        <f t="shared" si="142"/>
        <v>0</v>
      </c>
    </row>
    <row r="357" spans="1:26" ht="16.5" customHeight="1">
      <c r="A357" s="198" t="s">
        <v>161</v>
      </c>
      <c r="B357" s="199"/>
      <c r="C357" s="199"/>
      <c r="D357" s="199"/>
      <c r="E357" s="199"/>
      <c r="F357" s="200"/>
      <c r="G357" s="204" t="s">
        <v>76</v>
      </c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47">
        <f aca="true" t="shared" si="155" ref="R357:V360">R358</f>
        <v>79461.12</v>
      </c>
      <c r="S357" s="77">
        <f t="shared" si="155"/>
        <v>25200</v>
      </c>
      <c r="T357" s="30">
        <f t="shared" si="155"/>
        <v>25554</v>
      </c>
      <c r="U357" s="30">
        <f t="shared" si="155"/>
        <v>22000</v>
      </c>
      <c r="V357" s="77">
        <f t="shared" si="155"/>
        <v>6707.12</v>
      </c>
      <c r="W357" s="47">
        <f t="shared" si="154"/>
        <v>0</v>
      </c>
      <c r="X357" s="98">
        <f t="shared" si="154"/>
        <v>0</v>
      </c>
      <c r="Y357" s="64">
        <f t="shared" si="153"/>
        <v>79461.12</v>
      </c>
      <c r="Z357" s="28">
        <f t="shared" si="142"/>
        <v>0</v>
      </c>
    </row>
    <row r="358" spans="1:26" ht="16.5" customHeight="1">
      <c r="A358" s="177" t="s">
        <v>400</v>
      </c>
      <c r="B358" s="178"/>
      <c r="C358" s="178"/>
      <c r="D358" s="178"/>
      <c r="E358" s="178"/>
      <c r="F358" s="203"/>
      <c r="G358" s="180" t="s">
        <v>396</v>
      </c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48">
        <f>R359+R362</f>
        <v>79461.12</v>
      </c>
      <c r="S358" s="54">
        <f t="shared" si="155"/>
        <v>25200</v>
      </c>
      <c r="T358" s="31">
        <f t="shared" si="155"/>
        <v>25554</v>
      </c>
      <c r="U358" s="31">
        <f>U359+U362</f>
        <v>22000</v>
      </c>
      <c r="V358" s="54">
        <f t="shared" si="155"/>
        <v>6707.12</v>
      </c>
      <c r="W358" s="48">
        <f t="shared" si="154"/>
        <v>0</v>
      </c>
      <c r="X358" s="99">
        <f t="shared" si="154"/>
        <v>0</v>
      </c>
      <c r="Y358" s="64">
        <f t="shared" si="153"/>
        <v>79461.12</v>
      </c>
      <c r="Z358" s="28">
        <f t="shared" si="142"/>
        <v>0</v>
      </c>
    </row>
    <row r="359" spans="1:26" ht="15" customHeight="1">
      <c r="A359" s="177" t="s">
        <v>401</v>
      </c>
      <c r="B359" s="178"/>
      <c r="C359" s="178"/>
      <c r="D359" s="178"/>
      <c r="E359" s="178"/>
      <c r="F359" s="203"/>
      <c r="G359" s="180" t="s">
        <v>397</v>
      </c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48">
        <f t="shared" si="155"/>
        <v>57461.12</v>
      </c>
      <c r="S359" s="54">
        <f t="shared" si="155"/>
        <v>25200</v>
      </c>
      <c r="T359" s="31">
        <f t="shared" si="155"/>
        <v>25554</v>
      </c>
      <c r="U359" s="31">
        <f t="shared" si="155"/>
        <v>0</v>
      </c>
      <c r="V359" s="54">
        <f t="shared" si="155"/>
        <v>6707.12</v>
      </c>
      <c r="W359" s="48">
        <f t="shared" si="154"/>
        <v>0</v>
      </c>
      <c r="X359" s="99">
        <f t="shared" si="154"/>
        <v>0</v>
      </c>
      <c r="Y359" s="64">
        <f t="shared" si="153"/>
        <v>57461.12</v>
      </c>
      <c r="Z359" s="28">
        <f t="shared" si="142"/>
        <v>0</v>
      </c>
    </row>
    <row r="360" spans="1:26" ht="26.25" customHeight="1">
      <c r="A360" s="177" t="s">
        <v>402</v>
      </c>
      <c r="B360" s="178"/>
      <c r="C360" s="178"/>
      <c r="D360" s="178"/>
      <c r="E360" s="178"/>
      <c r="F360" s="203"/>
      <c r="G360" s="180" t="s">
        <v>398</v>
      </c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48">
        <f t="shared" si="155"/>
        <v>57461.12</v>
      </c>
      <c r="S360" s="54">
        <f t="shared" si="155"/>
        <v>25200</v>
      </c>
      <c r="T360" s="31">
        <f t="shared" si="155"/>
        <v>25554</v>
      </c>
      <c r="U360" s="31">
        <f t="shared" si="155"/>
        <v>0</v>
      </c>
      <c r="V360" s="54">
        <f t="shared" si="155"/>
        <v>6707.12</v>
      </c>
      <c r="W360" s="48">
        <f t="shared" si="154"/>
        <v>0</v>
      </c>
      <c r="X360" s="99">
        <f t="shared" si="154"/>
        <v>0</v>
      </c>
      <c r="Y360" s="64">
        <f t="shared" si="153"/>
        <v>57461.12</v>
      </c>
      <c r="Z360" s="28">
        <f t="shared" si="142"/>
        <v>0</v>
      </c>
    </row>
    <row r="361" spans="1:26" ht="16.5" customHeight="1">
      <c r="A361" s="195" t="s">
        <v>403</v>
      </c>
      <c r="B361" s="196"/>
      <c r="C361" s="196"/>
      <c r="D361" s="196"/>
      <c r="E361" s="196"/>
      <c r="F361" s="197"/>
      <c r="G361" s="175" t="s">
        <v>62</v>
      </c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49">
        <f>SUM(S361:V361)</f>
        <v>57461.12</v>
      </c>
      <c r="S361" s="140">
        <v>25200</v>
      </c>
      <c r="T361" s="32">
        <f>25554</f>
        <v>25554</v>
      </c>
      <c r="U361" s="32">
        <v>0</v>
      </c>
      <c r="V361" s="78">
        <f>6707.12</f>
        <v>6707.12</v>
      </c>
      <c r="W361" s="49">
        <v>0</v>
      </c>
      <c r="X361" s="101">
        <v>0</v>
      </c>
      <c r="Y361" s="64">
        <f t="shared" si="153"/>
        <v>57461.12</v>
      </c>
      <c r="Z361" s="28">
        <f t="shared" si="142"/>
        <v>0</v>
      </c>
    </row>
    <row r="362" spans="1:26" ht="16.5" customHeight="1">
      <c r="A362" s="195" t="s">
        <v>495</v>
      </c>
      <c r="B362" s="196"/>
      <c r="C362" s="196"/>
      <c r="D362" s="196"/>
      <c r="E362" s="196"/>
      <c r="F362" s="197"/>
      <c r="G362" s="175" t="s">
        <v>496</v>
      </c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49">
        <f>SUM(S362:V362)</f>
        <v>22000</v>
      </c>
      <c r="S362" s="140">
        <v>0</v>
      </c>
      <c r="T362" s="32">
        <v>0</v>
      </c>
      <c r="U362" s="32">
        <v>22000</v>
      </c>
      <c r="V362" s="78">
        <v>0</v>
      </c>
      <c r="W362" s="49">
        <v>0</v>
      </c>
      <c r="X362" s="101">
        <v>0</v>
      </c>
      <c r="Y362" s="64">
        <f>SUM(S362:V362)</f>
        <v>22000</v>
      </c>
      <c r="Z362" s="28">
        <f>R362-S362-T362-U362-V362</f>
        <v>0</v>
      </c>
    </row>
    <row r="363" spans="1:26" s="4" customFormat="1" ht="16.5" customHeight="1">
      <c r="A363" s="201" t="s">
        <v>148</v>
      </c>
      <c r="B363" s="202"/>
      <c r="C363" s="202"/>
      <c r="D363" s="202"/>
      <c r="E363" s="202"/>
      <c r="F363" s="185"/>
      <c r="G363" s="182" t="s">
        <v>57</v>
      </c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34">
        <f>R364+R372</f>
        <v>3233822.4</v>
      </c>
      <c r="S363" s="146">
        <f aca="true" t="shared" si="156" ref="S363:X363">S364+S372</f>
        <v>1077000</v>
      </c>
      <c r="T363" s="147">
        <f t="shared" si="156"/>
        <v>1195100</v>
      </c>
      <c r="U363" s="147">
        <f t="shared" si="156"/>
        <v>377100</v>
      </c>
      <c r="V363" s="146">
        <f t="shared" si="156"/>
        <v>584622.4</v>
      </c>
      <c r="W363" s="34">
        <f t="shared" si="156"/>
        <v>2400700</v>
      </c>
      <c r="X363" s="96">
        <f t="shared" si="156"/>
        <v>2458000</v>
      </c>
      <c r="Y363" s="64">
        <f aca="true" t="shared" si="157" ref="Y363:Y381">SUM(S363:V363)</f>
        <v>3233822.4</v>
      </c>
      <c r="Z363" s="28">
        <f t="shared" si="142"/>
        <v>0</v>
      </c>
    </row>
    <row r="364" spans="1:26" s="43" customFormat="1" ht="16.5" customHeight="1">
      <c r="A364" s="186" t="s">
        <v>149</v>
      </c>
      <c r="B364" s="181"/>
      <c r="C364" s="181"/>
      <c r="D364" s="181"/>
      <c r="E364" s="181"/>
      <c r="F364" s="41"/>
      <c r="G364" s="184" t="s">
        <v>87</v>
      </c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46">
        <f>R365</f>
        <v>3213822.4</v>
      </c>
      <c r="S364" s="75">
        <f aca="true" t="shared" si="158" ref="S364:X370">S365</f>
        <v>1074000</v>
      </c>
      <c r="T364" s="44">
        <f t="shared" si="158"/>
        <v>1192100</v>
      </c>
      <c r="U364" s="44">
        <f t="shared" si="158"/>
        <v>371100</v>
      </c>
      <c r="V364" s="75">
        <f t="shared" si="158"/>
        <v>576622.4</v>
      </c>
      <c r="W364" s="46">
        <f t="shared" si="158"/>
        <v>2390700</v>
      </c>
      <c r="X364" s="97">
        <f t="shared" si="158"/>
        <v>2448000</v>
      </c>
      <c r="Y364" s="64">
        <f t="shared" si="157"/>
        <v>3213822.4</v>
      </c>
      <c r="Z364" s="28">
        <f t="shared" si="142"/>
        <v>0</v>
      </c>
    </row>
    <row r="365" spans="1:26" s="3" customFormat="1" ht="16.5" customHeight="1">
      <c r="A365" s="198" t="s">
        <v>150</v>
      </c>
      <c r="B365" s="199"/>
      <c r="C365" s="199"/>
      <c r="D365" s="199"/>
      <c r="E365" s="199"/>
      <c r="F365" s="200"/>
      <c r="G365" s="220" t="s">
        <v>56</v>
      </c>
      <c r="H365" s="221"/>
      <c r="I365" s="221"/>
      <c r="J365" s="221"/>
      <c r="K365" s="221"/>
      <c r="L365" s="221"/>
      <c r="M365" s="221"/>
      <c r="N365" s="221"/>
      <c r="O365" s="221"/>
      <c r="P365" s="221"/>
      <c r="Q365" s="221"/>
      <c r="R365" s="47">
        <f>R366</f>
        <v>3213822.4</v>
      </c>
      <c r="S365" s="77">
        <f t="shared" si="158"/>
        <v>1074000</v>
      </c>
      <c r="T365" s="30">
        <f t="shared" si="158"/>
        <v>1192100</v>
      </c>
      <c r="U365" s="30">
        <f t="shared" si="158"/>
        <v>371100</v>
      </c>
      <c r="V365" s="77">
        <f t="shared" si="158"/>
        <v>576622.4</v>
      </c>
      <c r="W365" s="47">
        <f t="shared" si="158"/>
        <v>2390700</v>
      </c>
      <c r="X365" s="98">
        <f t="shared" si="158"/>
        <v>2448000</v>
      </c>
      <c r="Y365" s="64">
        <f t="shared" si="157"/>
        <v>3213822.4</v>
      </c>
      <c r="Z365" s="28">
        <f t="shared" si="142"/>
        <v>0</v>
      </c>
    </row>
    <row r="366" spans="1:26" ht="35.25" customHeight="1">
      <c r="A366" s="192" t="s">
        <v>369</v>
      </c>
      <c r="B366" s="193"/>
      <c r="C366" s="193"/>
      <c r="D366" s="193"/>
      <c r="E366" s="193"/>
      <c r="F366" s="194"/>
      <c r="G366" s="216" t="s">
        <v>362</v>
      </c>
      <c r="H366" s="217"/>
      <c r="I366" s="217"/>
      <c r="J366" s="217"/>
      <c r="K366" s="217"/>
      <c r="L366" s="217"/>
      <c r="M366" s="217"/>
      <c r="N366" s="217"/>
      <c r="O366" s="217"/>
      <c r="P366" s="217"/>
      <c r="Q366" s="217"/>
      <c r="R366" s="48">
        <f>R367</f>
        <v>3213822.4</v>
      </c>
      <c r="S366" s="54">
        <f t="shared" si="158"/>
        <v>1074000</v>
      </c>
      <c r="T366" s="31">
        <f>T367</f>
        <v>1192100</v>
      </c>
      <c r="U366" s="31">
        <f t="shared" si="158"/>
        <v>371100</v>
      </c>
      <c r="V366" s="54">
        <f t="shared" si="158"/>
        <v>576622.4</v>
      </c>
      <c r="W366" s="48">
        <f t="shared" si="158"/>
        <v>2390700</v>
      </c>
      <c r="X366" s="99">
        <f t="shared" si="158"/>
        <v>2448000</v>
      </c>
      <c r="Y366" s="64">
        <f t="shared" si="157"/>
        <v>3213822.4</v>
      </c>
      <c r="Z366" s="28">
        <f aca="true" t="shared" si="159" ref="Z366:Z372">R366-S366-T366-U366-V366</f>
        <v>0</v>
      </c>
    </row>
    <row r="367" spans="1:26" ht="12.75">
      <c r="A367" s="192" t="s">
        <v>370</v>
      </c>
      <c r="B367" s="193"/>
      <c r="C367" s="193"/>
      <c r="D367" s="193"/>
      <c r="E367" s="193"/>
      <c r="F367" s="194"/>
      <c r="G367" s="216" t="s">
        <v>363</v>
      </c>
      <c r="H367" s="217"/>
      <c r="I367" s="217"/>
      <c r="J367" s="217"/>
      <c r="K367" s="217"/>
      <c r="L367" s="217"/>
      <c r="M367" s="217"/>
      <c r="N367" s="217"/>
      <c r="O367" s="217"/>
      <c r="P367" s="217"/>
      <c r="Q367" s="217"/>
      <c r="R367" s="48">
        <f aca="true" t="shared" si="160" ref="R367:X367">R368+R370</f>
        <v>3213822.4</v>
      </c>
      <c r="S367" s="54">
        <f t="shared" si="160"/>
        <v>1074000</v>
      </c>
      <c r="T367" s="31">
        <f t="shared" si="160"/>
        <v>1192100</v>
      </c>
      <c r="U367" s="31">
        <f t="shared" si="160"/>
        <v>371100</v>
      </c>
      <c r="V367" s="54">
        <f t="shared" si="160"/>
        <v>576622.4</v>
      </c>
      <c r="W367" s="48">
        <f t="shared" si="160"/>
        <v>2390700</v>
      </c>
      <c r="X367" s="99">
        <f t="shared" si="160"/>
        <v>2448000</v>
      </c>
      <c r="Y367" s="64">
        <f t="shared" si="157"/>
        <v>3213822.4</v>
      </c>
      <c r="Z367" s="28">
        <f t="shared" si="159"/>
        <v>0</v>
      </c>
    </row>
    <row r="368" spans="1:26" ht="35.25" customHeight="1">
      <c r="A368" s="192" t="s">
        <v>371</v>
      </c>
      <c r="B368" s="193"/>
      <c r="C368" s="193"/>
      <c r="D368" s="193"/>
      <c r="E368" s="193"/>
      <c r="F368" s="194"/>
      <c r="G368" s="216" t="s">
        <v>364</v>
      </c>
      <c r="H368" s="217"/>
      <c r="I368" s="217"/>
      <c r="J368" s="217"/>
      <c r="K368" s="217"/>
      <c r="L368" s="217"/>
      <c r="M368" s="217"/>
      <c r="N368" s="217"/>
      <c r="O368" s="217"/>
      <c r="P368" s="217"/>
      <c r="Q368" s="217"/>
      <c r="R368" s="48">
        <f>R369</f>
        <v>2800699</v>
      </c>
      <c r="S368" s="54">
        <f t="shared" si="158"/>
        <v>745000</v>
      </c>
      <c r="T368" s="31">
        <f t="shared" si="158"/>
        <v>1122100</v>
      </c>
      <c r="U368" s="31">
        <f t="shared" si="158"/>
        <v>371100</v>
      </c>
      <c r="V368" s="54">
        <f t="shared" si="158"/>
        <v>562499</v>
      </c>
      <c r="W368" s="48">
        <f t="shared" si="158"/>
        <v>2390700</v>
      </c>
      <c r="X368" s="99">
        <f t="shared" si="158"/>
        <v>2448000</v>
      </c>
      <c r="Y368" s="64">
        <f t="shared" si="157"/>
        <v>2800699</v>
      </c>
      <c r="Z368" s="28">
        <f t="shared" si="159"/>
        <v>0</v>
      </c>
    </row>
    <row r="369" spans="1:26" ht="24" customHeight="1">
      <c r="A369" s="192" t="s">
        <v>372</v>
      </c>
      <c r="B369" s="193"/>
      <c r="C369" s="193"/>
      <c r="D369" s="193"/>
      <c r="E369" s="193"/>
      <c r="F369" s="194"/>
      <c r="G369" s="216" t="s">
        <v>205</v>
      </c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49">
        <f>SUM(S369:V369)</f>
        <v>2800699</v>
      </c>
      <c r="S369" s="85">
        <f>745000</f>
        <v>745000</v>
      </c>
      <c r="T369" s="86">
        <f>1032200+50000+20000+89900-70000</f>
        <v>1122100</v>
      </c>
      <c r="U369" s="86">
        <f>331000+40100</f>
        <v>371100</v>
      </c>
      <c r="V369" s="85">
        <f>197000+35000+100000+50000+250000-69501</f>
        <v>562499</v>
      </c>
      <c r="W369" s="105">
        <v>2390700</v>
      </c>
      <c r="X369" s="102">
        <v>2448000</v>
      </c>
      <c r="Y369" s="64">
        <f t="shared" si="157"/>
        <v>2800699</v>
      </c>
      <c r="Z369" s="28">
        <f t="shared" si="159"/>
        <v>0</v>
      </c>
    </row>
    <row r="370" spans="1:26" ht="12.75">
      <c r="A370" s="192" t="s">
        <v>394</v>
      </c>
      <c r="B370" s="193"/>
      <c r="C370" s="193"/>
      <c r="D370" s="193"/>
      <c r="E370" s="193"/>
      <c r="F370" s="194"/>
      <c r="G370" s="216" t="s">
        <v>392</v>
      </c>
      <c r="H370" s="217"/>
      <c r="I370" s="217"/>
      <c r="J370" s="217"/>
      <c r="K370" s="217"/>
      <c r="L370" s="217"/>
      <c r="M370" s="217"/>
      <c r="N370" s="217"/>
      <c r="O370" s="217"/>
      <c r="P370" s="217"/>
      <c r="Q370" s="217"/>
      <c r="R370" s="48">
        <f>R371</f>
        <v>413123.4</v>
      </c>
      <c r="S370" s="54">
        <f t="shared" si="158"/>
        <v>329000</v>
      </c>
      <c r="T370" s="31">
        <f t="shared" si="158"/>
        <v>70000</v>
      </c>
      <c r="U370" s="31">
        <f t="shared" si="158"/>
        <v>0</v>
      </c>
      <c r="V370" s="54">
        <f t="shared" si="158"/>
        <v>14123.4</v>
      </c>
      <c r="W370" s="48">
        <f t="shared" si="158"/>
        <v>0</v>
      </c>
      <c r="X370" s="99">
        <f t="shared" si="158"/>
        <v>0</v>
      </c>
      <c r="Y370" s="64">
        <f t="shared" si="157"/>
        <v>413123.4</v>
      </c>
      <c r="Z370" s="28">
        <f t="shared" si="159"/>
        <v>2.3646862246096134E-11</v>
      </c>
    </row>
    <row r="371" spans="1:26" ht="24" customHeight="1">
      <c r="A371" s="192" t="s">
        <v>393</v>
      </c>
      <c r="B371" s="193"/>
      <c r="C371" s="193"/>
      <c r="D371" s="193"/>
      <c r="E371" s="193"/>
      <c r="F371" s="194"/>
      <c r="G371" s="216" t="s">
        <v>205</v>
      </c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49">
        <f>SUM(S371:V371)</f>
        <v>413123.4</v>
      </c>
      <c r="S371" s="85">
        <v>329000</v>
      </c>
      <c r="T371" s="86">
        <v>70000</v>
      </c>
      <c r="U371" s="86">
        <v>0</v>
      </c>
      <c r="V371" s="85">
        <f>14123.4</f>
        <v>14123.4</v>
      </c>
      <c r="W371" s="105">
        <v>0</v>
      </c>
      <c r="X371" s="102">
        <v>0</v>
      </c>
      <c r="Y371" s="64">
        <f t="shared" si="157"/>
        <v>413123.4</v>
      </c>
      <c r="Z371" s="28">
        <f t="shared" si="159"/>
        <v>2.3646862246096134E-11</v>
      </c>
    </row>
    <row r="372" spans="1:26" s="43" customFormat="1" ht="16.5" customHeight="1">
      <c r="A372" s="186" t="s">
        <v>374</v>
      </c>
      <c r="B372" s="181"/>
      <c r="C372" s="181"/>
      <c r="D372" s="181"/>
      <c r="E372" s="181"/>
      <c r="F372" s="41"/>
      <c r="G372" s="184" t="s">
        <v>375</v>
      </c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46">
        <f>R373</f>
        <v>20000</v>
      </c>
      <c r="S372" s="75">
        <f aca="true" t="shared" si="161" ref="S372:X372">S373</f>
        <v>3000</v>
      </c>
      <c r="T372" s="44">
        <f t="shared" si="161"/>
        <v>3000</v>
      </c>
      <c r="U372" s="44">
        <f t="shared" si="161"/>
        <v>6000</v>
      </c>
      <c r="V372" s="75">
        <f t="shared" si="161"/>
        <v>8000</v>
      </c>
      <c r="W372" s="46">
        <f t="shared" si="161"/>
        <v>10000</v>
      </c>
      <c r="X372" s="97">
        <f t="shared" si="161"/>
        <v>10000</v>
      </c>
      <c r="Y372" s="64">
        <f t="shared" si="157"/>
        <v>20000</v>
      </c>
      <c r="Z372" s="28">
        <f t="shared" si="159"/>
        <v>0</v>
      </c>
    </row>
    <row r="373" spans="1:26" s="3" customFormat="1" ht="21" customHeight="1">
      <c r="A373" s="198" t="s">
        <v>151</v>
      </c>
      <c r="B373" s="199"/>
      <c r="C373" s="199"/>
      <c r="D373" s="199"/>
      <c r="E373" s="199"/>
      <c r="F373" s="200"/>
      <c r="G373" s="220" t="s">
        <v>58</v>
      </c>
      <c r="H373" s="221"/>
      <c r="I373" s="221"/>
      <c r="J373" s="221"/>
      <c r="K373" s="221"/>
      <c r="L373" s="221"/>
      <c r="M373" s="221"/>
      <c r="N373" s="221"/>
      <c r="O373" s="221"/>
      <c r="P373" s="221"/>
      <c r="Q373" s="221"/>
      <c r="R373" s="47">
        <f aca="true" t="shared" si="162" ref="R373:X375">R374</f>
        <v>20000</v>
      </c>
      <c r="S373" s="77">
        <f t="shared" si="162"/>
        <v>3000</v>
      </c>
      <c r="T373" s="30">
        <f t="shared" si="162"/>
        <v>3000</v>
      </c>
      <c r="U373" s="30">
        <f t="shared" si="162"/>
        <v>6000</v>
      </c>
      <c r="V373" s="77">
        <f t="shared" si="162"/>
        <v>8000</v>
      </c>
      <c r="W373" s="47">
        <f t="shared" si="162"/>
        <v>10000</v>
      </c>
      <c r="X373" s="98">
        <f t="shared" si="162"/>
        <v>10000</v>
      </c>
      <c r="Y373" s="64">
        <f t="shared" si="157"/>
        <v>20000</v>
      </c>
      <c r="Z373" s="28">
        <f aca="true" t="shared" si="163" ref="Z373:Z387">R373-S373-T373-U373-V373</f>
        <v>0</v>
      </c>
    </row>
    <row r="374" spans="1:26" ht="26.25" customHeight="1">
      <c r="A374" s="192" t="s">
        <v>376</v>
      </c>
      <c r="B374" s="193"/>
      <c r="C374" s="193"/>
      <c r="D374" s="193"/>
      <c r="E374" s="193"/>
      <c r="F374" s="194"/>
      <c r="G374" s="216" t="s">
        <v>362</v>
      </c>
      <c r="H374" s="217"/>
      <c r="I374" s="217"/>
      <c r="J374" s="217"/>
      <c r="K374" s="217"/>
      <c r="L374" s="217"/>
      <c r="M374" s="217"/>
      <c r="N374" s="217"/>
      <c r="O374" s="217"/>
      <c r="P374" s="217"/>
      <c r="Q374" s="217"/>
      <c r="R374" s="48">
        <f>R375</f>
        <v>20000</v>
      </c>
      <c r="S374" s="54">
        <f t="shared" si="162"/>
        <v>3000</v>
      </c>
      <c r="T374" s="31">
        <f t="shared" si="162"/>
        <v>3000</v>
      </c>
      <c r="U374" s="31">
        <f t="shared" si="162"/>
        <v>6000</v>
      </c>
      <c r="V374" s="54">
        <f t="shared" si="162"/>
        <v>8000</v>
      </c>
      <c r="W374" s="48">
        <f t="shared" si="162"/>
        <v>10000</v>
      </c>
      <c r="X374" s="99">
        <f t="shared" si="162"/>
        <v>10000</v>
      </c>
      <c r="Y374" s="64">
        <f t="shared" si="157"/>
        <v>20000</v>
      </c>
      <c r="Z374" s="28">
        <f t="shared" si="163"/>
        <v>0</v>
      </c>
    </row>
    <row r="375" spans="1:26" ht="12.75">
      <c r="A375" s="192" t="s">
        <v>377</v>
      </c>
      <c r="B375" s="193"/>
      <c r="C375" s="193"/>
      <c r="D375" s="193"/>
      <c r="E375" s="193"/>
      <c r="F375" s="194"/>
      <c r="G375" s="216" t="s">
        <v>363</v>
      </c>
      <c r="H375" s="217"/>
      <c r="I375" s="217"/>
      <c r="J375" s="217"/>
      <c r="K375" s="217"/>
      <c r="L375" s="217"/>
      <c r="M375" s="217"/>
      <c r="N375" s="217"/>
      <c r="O375" s="217"/>
      <c r="P375" s="217"/>
      <c r="Q375" s="217"/>
      <c r="R375" s="48">
        <f>R376</f>
        <v>20000</v>
      </c>
      <c r="S375" s="54">
        <f t="shared" si="162"/>
        <v>3000</v>
      </c>
      <c r="T375" s="31">
        <f t="shared" si="162"/>
        <v>3000</v>
      </c>
      <c r="U375" s="31">
        <f t="shared" si="162"/>
        <v>6000</v>
      </c>
      <c r="V375" s="54">
        <f t="shared" si="162"/>
        <v>8000</v>
      </c>
      <c r="W375" s="48">
        <f t="shared" si="162"/>
        <v>10000</v>
      </c>
      <c r="X375" s="99">
        <f t="shared" si="162"/>
        <v>10000</v>
      </c>
      <c r="Y375" s="64">
        <f t="shared" si="157"/>
        <v>20000</v>
      </c>
      <c r="Z375" s="28">
        <f t="shared" si="163"/>
        <v>0</v>
      </c>
    </row>
    <row r="376" spans="1:26" ht="35.25" customHeight="1">
      <c r="A376" s="192" t="s">
        <v>378</v>
      </c>
      <c r="B376" s="193"/>
      <c r="C376" s="193"/>
      <c r="D376" s="193"/>
      <c r="E376" s="193"/>
      <c r="F376" s="194"/>
      <c r="G376" s="216" t="s">
        <v>364</v>
      </c>
      <c r="H376" s="217"/>
      <c r="I376" s="217"/>
      <c r="J376" s="217"/>
      <c r="K376" s="217"/>
      <c r="L376" s="217"/>
      <c r="M376" s="217"/>
      <c r="N376" s="217"/>
      <c r="O376" s="217"/>
      <c r="P376" s="217"/>
      <c r="Q376" s="217"/>
      <c r="R376" s="48">
        <f>R377</f>
        <v>20000</v>
      </c>
      <c r="S376" s="54">
        <f aca="true" t="shared" si="164" ref="S376:X376">S377</f>
        <v>3000</v>
      </c>
      <c r="T376" s="31">
        <f t="shared" si="164"/>
        <v>3000</v>
      </c>
      <c r="U376" s="31">
        <f t="shared" si="164"/>
        <v>6000</v>
      </c>
      <c r="V376" s="54">
        <f t="shared" si="164"/>
        <v>8000</v>
      </c>
      <c r="W376" s="48">
        <f t="shared" si="164"/>
        <v>10000</v>
      </c>
      <c r="X376" s="99">
        <f t="shared" si="164"/>
        <v>10000</v>
      </c>
      <c r="Y376" s="64">
        <f t="shared" si="157"/>
        <v>20000</v>
      </c>
      <c r="Z376" s="28">
        <f t="shared" si="163"/>
        <v>0</v>
      </c>
    </row>
    <row r="377" spans="1:26" ht="24" customHeight="1">
      <c r="A377" s="192" t="s">
        <v>379</v>
      </c>
      <c r="B377" s="193"/>
      <c r="C377" s="193"/>
      <c r="D377" s="193"/>
      <c r="E377" s="193"/>
      <c r="F377" s="194"/>
      <c r="G377" s="216" t="s">
        <v>205</v>
      </c>
      <c r="H377" s="217"/>
      <c r="I377" s="217"/>
      <c r="J377" s="217"/>
      <c r="K377" s="217"/>
      <c r="L377" s="217"/>
      <c r="M377" s="217"/>
      <c r="N377" s="217"/>
      <c r="O377" s="217"/>
      <c r="P377" s="217"/>
      <c r="Q377" s="217"/>
      <c r="R377" s="49">
        <f>SUM(S377:V377)</f>
        <v>20000</v>
      </c>
      <c r="S377" s="78">
        <f>3000</f>
        <v>3000</v>
      </c>
      <c r="T377" s="32">
        <f>3000</f>
        <v>3000</v>
      </c>
      <c r="U377" s="32">
        <f>1000+5000</f>
        <v>6000</v>
      </c>
      <c r="V377" s="78">
        <f>3000+5000</f>
        <v>8000</v>
      </c>
      <c r="W377" s="49">
        <v>10000</v>
      </c>
      <c r="X377" s="101">
        <v>10000</v>
      </c>
      <c r="Y377" s="64">
        <f t="shared" si="157"/>
        <v>20000</v>
      </c>
      <c r="Z377" s="28">
        <f t="shared" si="163"/>
        <v>0</v>
      </c>
    </row>
    <row r="378" spans="1:26" s="4" customFormat="1" ht="24.75" customHeight="1">
      <c r="A378" s="201" t="s">
        <v>434</v>
      </c>
      <c r="B378" s="202"/>
      <c r="C378" s="202"/>
      <c r="D378" s="202"/>
      <c r="E378" s="202"/>
      <c r="F378" s="185"/>
      <c r="G378" s="214" t="s">
        <v>435</v>
      </c>
      <c r="H378" s="215"/>
      <c r="I378" s="215"/>
      <c r="J378" s="215"/>
      <c r="K378" s="215"/>
      <c r="L378" s="215"/>
      <c r="M378" s="215"/>
      <c r="N378" s="215"/>
      <c r="O378" s="215"/>
      <c r="P378" s="215"/>
      <c r="Q378" s="215"/>
      <c r="R378" s="34">
        <f>R382+R379</f>
        <v>570899.12</v>
      </c>
      <c r="S378" s="53">
        <f aca="true" t="shared" si="165" ref="S378:X378">S382+S379</f>
        <v>0</v>
      </c>
      <c r="T378" s="29">
        <f t="shared" si="165"/>
        <v>540310.12</v>
      </c>
      <c r="U378" s="29">
        <f t="shared" si="165"/>
        <v>0</v>
      </c>
      <c r="V378" s="53">
        <f t="shared" si="165"/>
        <v>30589</v>
      </c>
      <c r="W378" s="34">
        <f t="shared" si="165"/>
        <v>0</v>
      </c>
      <c r="X378" s="96">
        <f t="shared" si="165"/>
        <v>0</v>
      </c>
      <c r="Y378" s="64">
        <f t="shared" si="157"/>
        <v>570899.12</v>
      </c>
      <c r="Z378" s="28">
        <f t="shared" si="163"/>
        <v>0</v>
      </c>
    </row>
    <row r="379" spans="1:26" s="4" customFormat="1" ht="16.5" customHeight="1" hidden="1">
      <c r="A379" s="198" t="s">
        <v>142</v>
      </c>
      <c r="B379" s="199"/>
      <c r="C379" s="199"/>
      <c r="D379" s="199"/>
      <c r="E379" s="199"/>
      <c r="F379" s="200"/>
      <c r="G379" s="218" t="s">
        <v>60</v>
      </c>
      <c r="H379" s="219"/>
      <c r="I379" s="219"/>
      <c r="J379" s="219"/>
      <c r="K379" s="219"/>
      <c r="L379" s="219"/>
      <c r="M379" s="219"/>
      <c r="N379" s="219"/>
      <c r="O379" s="219"/>
      <c r="P379" s="219"/>
      <c r="Q379" s="219"/>
      <c r="R379" s="47">
        <f>R380</f>
        <v>0</v>
      </c>
      <c r="S379" s="77">
        <f aca="true" t="shared" si="166" ref="S379:X380">S380</f>
        <v>0</v>
      </c>
      <c r="T379" s="30">
        <f t="shared" si="166"/>
        <v>0</v>
      </c>
      <c r="U379" s="30">
        <f t="shared" si="166"/>
        <v>0</v>
      </c>
      <c r="V379" s="77">
        <f t="shared" si="166"/>
        <v>0</v>
      </c>
      <c r="W379" s="47">
        <f t="shared" si="166"/>
        <v>0</v>
      </c>
      <c r="X379" s="98">
        <f t="shared" si="166"/>
        <v>0</v>
      </c>
      <c r="Y379" s="64">
        <f t="shared" si="157"/>
        <v>0</v>
      </c>
      <c r="Z379" s="28">
        <f t="shared" si="163"/>
        <v>0</v>
      </c>
    </row>
    <row r="380" spans="1:26" s="4" customFormat="1" ht="16.5" customHeight="1" hidden="1">
      <c r="A380" s="192" t="s">
        <v>380</v>
      </c>
      <c r="B380" s="193"/>
      <c r="C380" s="193"/>
      <c r="D380" s="193"/>
      <c r="E380" s="193"/>
      <c r="F380" s="194"/>
      <c r="G380" s="206" t="s">
        <v>61</v>
      </c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48">
        <f>R381</f>
        <v>0</v>
      </c>
      <c r="S380" s="54">
        <f t="shared" si="166"/>
        <v>0</v>
      </c>
      <c r="T380" s="31">
        <f t="shared" si="166"/>
        <v>0</v>
      </c>
      <c r="U380" s="31">
        <f t="shared" si="166"/>
        <v>0</v>
      </c>
      <c r="V380" s="54">
        <f t="shared" si="166"/>
        <v>0</v>
      </c>
      <c r="W380" s="48">
        <f t="shared" si="166"/>
        <v>0</v>
      </c>
      <c r="X380" s="99">
        <f t="shared" si="166"/>
        <v>0</v>
      </c>
      <c r="Y380" s="64">
        <f t="shared" si="157"/>
        <v>0</v>
      </c>
      <c r="Z380" s="28">
        <f t="shared" si="163"/>
        <v>0</v>
      </c>
    </row>
    <row r="381" spans="1:26" s="4" customFormat="1" ht="16.5" customHeight="1" hidden="1">
      <c r="A381" s="208" t="s">
        <v>381</v>
      </c>
      <c r="B381" s="209"/>
      <c r="C381" s="209"/>
      <c r="D381" s="209"/>
      <c r="E381" s="209"/>
      <c r="F381" s="210"/>
      <c r="G381" s="175" t="s">
        <v>62</v>
      </c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49">
        <f>SUM(S381:V381)</f>
        <v>0</v>
      </c>
      <c r="S381" s="82"/>
      <c r="T381" s="83"/>
      <c r="U381" s="83"/>
      <c r="V381" s="82"/>
      <c r="W381" s="84">
        <v>0</v>
      </c>
      <c r="X381" s="100">
        <v>0</v>
      </c>
      <c r="Y381" s="64">
        <f t="shared" si="157"/>
        <v>0</v>
      </c>
      <c r="Z381" s="28">
        <f t="shared" si="163"/>
        <v>0</v>
      </c>
    </row>
    <row r="382" spans="1:26" s="3" customFormat="1" ht="27" customHeight="1">
      <c r="A382" s="186" t="s">
        <v>436</v>
      </c>
      <c r="B382" s="181"/>
      <c r="C382" s="181"/>
      <c r="D382" s="181"/>
      <c r="E382" s="181"/>
      <c r="F382" s="211"/>
      <c r="G382" s="212" t="s">
        <v>437</v>
      </c>
      <c r="H382" s="213"/>
      <c r="I382" s="213"/>
      <c r="J382" s="213"/>
      <c r="K382" s="213"/>
      <c r="L382" s="213"/>
      <c r="M382" s="213"/>
      <c r="N382" s="213"/>
      <c r="O382" s="213"/>
      <c r="P382" s="213"/>
      <c r="Q382" s="213"/>
      <c r="R382" s="46">
        <f aca="true" t="shared" si="167" ref="R382:X382">R384</f>
        <v>570899.12</v>
      </c>
      <c r="S382" s="75">
        <f t="shared" si="167"/>
        <v>0</v>
      </c>
      <c r="T382" s="44">
        <f t="shared" si="167"/>
        <v>540310.12</v>
      </c>
      <c r="U382" s="44">
        <f t="shared" si="167"/>
        <v>0</v>
      </c>
      <c r="V382" s="75">
        <f t="shared" si="167"/>
        <v>30589</v>
      </c>
      <c r="W382" s="46">
        <f t="shared" si="167"/>
        <v>0</v>
      </c>
      <c r="X382" s="97">
        <f t="shared" si="167"/>
        <v>0</v>
      </c>
      <c r="Y382" s="64">
        <f aca="true" t="shared" si="168" ref="Y382:Y387">SUM(S382:V382)</f>
        <v>570899.12</v>
      </c>
      <c r="Z382" s="28">
        <f t="shared" si="163"/>
        <v>0</v>
      </c>
    </row>
    <row r="383" spans="1:26" ht="16.5" customHeight="1">
      <c r="A383" s="198" t="s">
        <v>438</v>
      </c>
      <c r="B383" s="199"/>
      <c r="C383" s="199"/>
      <c r="D383" s="199"/>
      <c r="E383" s="199"/>
      <c r="F383" s="200"/>
      <c r="G383" s="204" t="s">
        <v>439</v>
      </c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47">
        <f aca="true" t="shared" si="169" ref="R383:V385">R384</f>
        <v>570899.12</v>
      </c>
      <c r="S383" s="77">
        <f t="shared" si="169"/>
        <v>0</v>
      </c>
      <c r="T383" s="30">
        <f t="shared" si="169"/>
        <v>540310.12</v>
      </c>
      <c r="U383" s="30">
        <f t="shared" si="169"/>
        <v>0</v>
      </c>
      <c r="V383" s="77">
        <f t="shared" si="169"/>
        <v>30589</v>
      </c>
      <c r="W383" s="47">
        <f aca="true" t="shared" si="170" ref="W383:X385">W384</f>
        <v>0</v>
      </c>
      <c r="X383" s="98">
        <f t="shared" si="170"/>
        <v>0</v>
      </c>
      <c r="Y383" s="64">
        <f>SUM(S383:V383)</f>
        <v>570899.12</v>
      </c>
      <c r="Z383" s="28">
        <f>R383-S383-T383-U383-V383</f>
        <v>0</v>
      </c>
    </row>
    <row r="384" spans="1:26" ht="15.75" customHeight="1">
      <c r="A384" s="192" t="s">
        <v>446</v>
      </c>
      <c r="B384" s="193"/>
      <c r="C384" s="193"/>
      <c r="D384" s="193"/>
      <c r="E384" s="193"/>
      <c r="F384" s="194"/>
      <c r="G384" s="180" t="s">
        <v>445</v>
      </c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48">
        <f t="shared" si="169"/>
        <v>570899.12</v>
      </c>
      <c r="S384" s="54">
        <f t="shared" si="169"/>
        <v>0</v>
      </c>
      <c r="T384" s="31">
        <f t="shared" si="169"/>
        <v>540310.12</v>
      </c>
      <c r="U384" s="31">
        <f t="shared" si="169"/>
        <v>0</v>
      </c>
      <c r="V384" s="54">
        <f t="shared" si="169"/>
        <v>30589</v>
      </c>
      <c r="W384" s="48">
        <f t="shared" si="170"/>
        <v>0</v>
      </c>
      <c r="X384" s="99">
        <f t="shared" si="170"/>
        <v>0</v>
      </c>
      <c r="Y384" s="64">
        <f t="shared" si="168"/>
        <v>570899.12</v>
      </c>
      <c r="Z384" s="80">
        <f t="shared" si="163"/>
        <v>0</v>
      </c>
    </row>
    <row r="385" spans="1:26" ht="16.5" customHeight="1">
      <c r="A385" s="177" t="s">
        <v>440</v>
      </c>
      <c r="B385" s="178"/>
      <c r="C385" s="178"/>
      <c r="D385" s="178"/>
      <c r="E385" s="178"/>
      <c r="F385" s="203"/>
      <c r="G385" s="180" t="s">
        <v>441</v>
      </c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48">
        <f>R386</f>
        <v>570899.12</v>
      </c>
      <c r="S385" s="54">
        <f t="shared" si="169"/>
        <v>0</v>
      </c>
      <c r="T385" s="31">
        <f t="shared" si="169"/>
        <v>540310.12</v>
      </c>
      <c r="U385" s="31">
        <f t="shared" si="169"/>
        <v>0</v>
      </c>
      <c r="V385" s="54">
        <f t="shared" si="169"/>
        <v>30589</v>
      </c>
      <c r="W385" s="48">
        <f t="shared" si="170"/>
        <v>0</v>
      </c>
      <c r="X385" s="99">
        <f t="shared" si="170"/>
        <v>0</v>
      </c>
      <c r="Y385" s="64">
        <f t="shared" si="168"/>
        <v>570899.12</v>
      </c>
      <c r="Z385" s="28">
        <f t="shared" si="163"/>
        <v>0</v>
      </c>
    </row>
    <row r="386" spans="1:26" ht="21" customHeight="1" thickBot="1">
      <c r="A386" s="195" t="s">
        <v>442</v>
      </c>
      <c r="B386" s="196"/>
      <c r="C386" s="196"/>
      <c r="D386" s="196"/>
      <c r="E386" s="196"/>
      <c r="F386" s="197"/>
      <c r="G386" s="175" t="s">
        <v>444</v>
      </c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49">
        <f>SUM(S386:V386)</f>
        <v>570899.12</v>
      </c>
      <c r="S386" s="50">
        <v>0</v>
      </c>
      <c r="T386" s="33">
        <f>157806+5240+436310-4000-6510+4000-52535.88</f>
        <v>540310.12</v>
      </c>
      <c r="U386" s="33">
        <v>0</v>
      </c>
      <c r="V386" s="145">
        <f>30589</f>
        <v>30589</v>
      </c>
      <c r="W386" s="49">
        <v>0</v>
      </c>
      <c r="X386" s="101">
        <v>0</v>
      </c>
      <c r="Y386" s="64">
        <f t="shared" si="168"/>
        <v>570899.12</v>
      </c>
      <c r="Z386" s="28">
        <f t="shared" si="163"/>
        <v>0</v>
      </c>
    </row>
    <row r="387" spans="1:26" ht="18.75" customHeight="1" thickBot="1">
      <c r="A387" s="315" t="s">
        <v>63</v>
      </c>
      <c r="B387" s="316"/>
      <c r="C387" s="316"/>
      <c r="D387" s="316"/>
      <c r="E387" s="316"/>
      <c r="F387" s="316"/>
      <c r="G387" s="316"/>
      <c r="H387" s="316"/>
      <c r="I387" s="316"/>
      <c r="J387" s="316"/>
      <c r="K387" s="316"/>
      <c r="L387" s="316"/>
      <c r="M387" s="316"/>
      <c r="N387" s="316"/>
      <c r="O387" s="316"/>
      <c r="P387" s="316"/>
      <c r="Q387" s="316"/>
      <c r="R387" s="74">
        <f>R17+R25+R57+R63+R90+R114+R122+R140+R151+R176+R206+R217+R224+R262+R268+R324+R336+R352+R363+R378+R110</f>
        <v>30784938.490000006</v>
      </c>
      <c r="S387" s="74">
        <f aca="true" t="shared" si="171" ref="S387:X387">S17+S25+S57+S63+S90+S114+S122+S140+S151+S176+S206+S217+S224+S262+S268+S324+S336+S352+S363+S378+S110</f>
        <v>7294471.28</v>
      </c>
      <c r="T387" s="74">
        <f t="shared" si="171"/>
        <v>10219863.249999998</v>
      </c>
      <c r="U387" s="74">
        <f t="shared" si="171"/>
        <v>6940257.7700000005</v>
      </c>
      <c r="V387" s="171">
        <f t="shared" si="171"/>
        <v>6179713.58</v>
      </c>
      <c r="W387" s="74">
        <f t="shared" si="171"/>
        <v>21645392</v>
      </c>
      <c r="X387" s="172">
        <f t="shared" si="171"/>
        <v>22709692</v>
      </c>
      <c r="Y387" s="28">
        <f t="shared" si="168"/>
        <v>30634305.879999995</v>
      </c>
      <c r="Z387" s="28">
        <f t="shared" si="163"/>
        <v>150632.61000000592</v>
      </c>
    </row>
    <row r="388" spans="1:25" ht="9.75" customHeight="1" hidden="1">
      <c r="A388" s="317"/>
      <c r="B388" s="317"/>
      <c r="C388" s="317"/>
      <c r="D388" s="317"/>
      <c r="E388" s="317"/>
      <c r="F388" s="317"/>
      <c r="G388" s="317"/>
      <c r="H388" s="317"/>
      <c r="I388" s="317"/>
      <c r="J388" s="317"/>
      <c r="K388" s="317"/>
      <c r="L388" s="317"/>
      <c r="M388" s="317"/>
      <c r="N388" s="317"/>
      <c r="O388" s="317"/>
      <c r="P388" s="317"/>
      <c r="Q388" s="317"/>
      <c r="R388" s="317"/>
      <c r="S388" s="317"/>
      <c r="T388" s="317"/>
      <c r="U388" s="317"/>
      <c r="V388" s="317"/>
      <c r="W388" s="39"/>
      <c r="X388" s="39"/>
      <c r="Y388" s="6">
        <f>R387-Y387</f>
        <v>150632.61000001058</v>
      </c>
    </row>
    <row r="389" spans="1:24" ht="15" customHeight="1">
      <c r="A389" s="190" t="s">
        <v>79</v>
      </c>
      <c r="B389" s="190"/>
      <c r="C389" s="190"/>
      <c r="D389" s="190"/>
      <c r="E389" s="190"/>
      <c r="F389" s="190"/>
      <c r="G389" s="190"/>
      <c r="H389" s="190"/>
      <c r="I389" s="190"/>
      <c r="J389" s="190"/>
      <c r="K389" s="190"/>
      <c r="L389" s="190"/>
      <c r="M389" s="190"/>
      <c r="N389" s="191" t="s">
        <v>80</v>
      </c>
      <c r="O389" s="191"/>
      <c r="P389" s="191"/>
      <c r="Q389" s="191"/>
      <c r="R389" s="191"/>
      <c r="S389" s="187"/>
      <c r="T389" s="187"/>
      <c r="U389" s="187"/>
      <c r="V389" s="187"/>
      <c r="W389" s="2"/>
      <c r="X389" s="2"/>
    </row>
    <row r="390" spans="1:24" ht="9" customHeight="1">
      <c r="A390" s="187"/>
      <c r="B390" s="187"/>
      <c r="C390" s="187"/>
      <c r="D390" s="187"/>
      <c r="E390" s="187"/>
      <c r="F390" s="187"/>
      <c r="G390" s="187"/>
      <c r="H390" s="187"/>
      <c r="I390" s="187"/>
      <c r="J390" s="2"/>
      <c r="K390" s="188" t="s">
        <v>64</v>
      </c>
      <c r="L390" s="188"/>
      <c r="M390" s="25"/>
      <c r="N390" s="189"/>
      <c r="O390" s="189"/>
      <c r="P390" s="188" t="s">
        <v>65</v>
      </c>
      <c r="Q390" s="188"/>
      <c r="R390" s="188"/>
      <c r="S390" s="187"/>
      <c r="T390" s="187"/>
      <c r="U390" s="187"/>
      <c r="V390" s="187"/>
      <c r="W390" s="2"/>
      <c r="X390" s="2"/>
    </row>
    <row r="391" spans="1:24" ht="15" customHeight="1">
      <c r="A391" s="190" t="s">
        <v>72</v>
      </c>
      <c r="B391" s="190"/>
      <c r="C391" s="190"/>
      <c r="D391" s="190"/>
      <c r="E391" s="190"/>
      <c r="F391" s="190"/>
      <c r="G391" s="190"/>
      <c r="H391" s="190"/>
      <c r="I391" s="190"/>
      <c r="J391" s="190"/>
      <c r="K391" s="190"/>
      <c r="L391" s="190"/>
      <c r="M391" s="190"/>
      <c r="N391" s="191" t="s">
        <v>73</v>
      </c>
      <c r="O391" s="191"/>
      <c r="P391" s="191"/>
      <c r="Q391" s="191"/>
      <c r="R391" s="191"/>
      <c r="S391" s="187"/>
      <c r="T391" s="187"/>
      <c r="U391" s="187"/>
      <c r="V391" s="187"/>
      <c r="W391" s="2"/>
      <c r="X391" s="2"/>
    </row>
    <row r="392" spans="1:24" ht="9" customHeight="1">
      <c r="A392" s="187"/>
      <c r="B392" s="187"/>
      <c r="C392" s="187"/>
      <c r="D392" s="187"/>
      <c r="E392" s="187"/>
      <c r="F392" s="187"/>
      <c r="G392" s="187"/>
      <c r="H392" s="187"/>
      <c r="I392" s="187"/>
      <c r="J392" s="2"/>
      <c r="K392" s="188" t="s">
        <v>64</v>
      </c>
      <c r="L392" s="188"/>
      <c r="M392" s="25"/>
      <c r="N392" s="189"/>
      <c r="O392" s="189"/>
      <c r="P392" s="188" t="s">
        <v>65</v>
      </c>
      <c r="Q392" s="188"/>
      <c r="R392" s="188"/>
      <c r="S392" s="187" t="s">
        <v>68</v>
      </c>
      <c r="T392" s="187"/>
      <c r="U392" s="187"/>
      <c r="V392" s="187"/>
      <c r="W392" s="2"/>
      <c r="X392" s="2"/>
    </row>
    <row r="393" spans="1:24" ht="12" customHeight="1">
      <c r="A393" s="318">
        <f>V4</f>
        <v>41268</v>
      </c>
      <c r="B393" s="319"/>
      <c r="C393" s="319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37"/>
      <c r="X393" s="37"/>
    </row>
    <row r="394" spans="1:24" ht="16.5" customHeight="1">
      <c r="A394" s="188" t="s">
        <v>66</v>
      </c>
      <c r="B394" s="188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116"/>
      <c r="X394" s="116"/>
    </row>
    <row r="395" spans="1:24" ht="16.5" customHeight="1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7"/>
      <c r="X395" s="117"/>
    </row>
    <row r="396" spans="18:24" ht="16.5" customHeight="1">
      <c r="R396" s="80"/>
      <c r="W396" s="80"/>
      <c r="X396" s="80"/>
    </row>
    <row r="410" ht="12.75">
      <c r="R410" s="1" t="s">
        <v>68</v>
      </c>
    </row>
    <row r="418" spans="18:24" ht="12.75">
      <c r="R418" s="130">
        <v>29609376.5</v>
      </c>
      <c r="V418" s="129" t="s">
        <v>382</v>
      </c>
      <c r="W418" s="130">
        <v>21645400</v>
      </c>
      <c r="X418" s="130">
        <v>22709700</v>
      </c>
    </row>
    <row r="419" spans="18:24" ht="12.75">
      <c r="R419" s="132">
        <f>R387-R418</f>
        <v>1175561.9900000058</v>
      </c>
      <c r="V419" s="131"/>
      <c r="W419" s="132">
        <f>W387-W418</f>
        <v>-8</v>
      </c>
      <c r="X419" s="132">
        <f>X387-X418</f>
        <v>-8</v>
      </c>
    </row>
    <row r="421" spans="18:22" ht="12.75">
      <c r="R421" s="80">
        <f>R387-R16</f>
        <v>0</v>
      </c>
      <c r="S421" s="80">
        <f>S387-S16</f>
        <v>0</v>
      </c>
      <c r="T421" s="80">
        <f>T387-T16</f>
        <v>0</v>
      </c>
      <c r="U421" s="80">
        <f>U387-U16</f>
        <v>0</v>
      </c>
      <c r="V421" s="80">
        <f>V387-V16</f>
        <v>0</v>
      </c>
    </row>
  </sheetData>
  <mergeCells count="786">
    <mergeCell ref="A230:F230"/>
    <mergeCell ref="G230:Q230"/>
    <mergeCell ref="A317:F317"/>
    <mergeCell ref="G317:Q317"/>
    <mergeCell ref="A259:F259"/>
    <mergeCell ref="A260:F260"/>
    <mergeCell ref="A261:F261"/>
    <mergeCell ref="G259:O259"/>
    <mergeCell ref="G260:O260"/>
    <mergeCell ref="G261:O261"/>
    <mergeCell ref="G272:Q272"/>
    <mergeCell ref="A273:E273"/>
    <mergeCell ref="A257:F257"/>
    <mergeCell ref="A258:F258"/>
    <mergeCell ref="G257:O257"/>
    <mergeCell ref="G258:O258"/>
    <mergeCell ref="G273:Q273"/>
    <mergeCell ref="A270:F270"/>
    <mergeCell ref="G270:Q270"/>
    <mergeCell ref="A271:E271"/>
    <mergeCell ref="G362:Q362"/>
    <mergeCell ref="A355:F355"/>
    <mergeCell ref="G355:Q355"/>
    <mergeCell ref="G359:Q359"/>
    <mergeCell ref="A356:F356"/>
    <mergeCell ref="G356:Q356"/>
    <mergeCell ref="A357:F357"/>
    <mergeCell ref="G357:Q357"/>
    <mergeCell ref="A359:F359"/>
    <mergeCell ref="G358:Q358"/>
    <mergeCell ref="G271:Q271"/>
    <mergeCell ref="A354:F354"/>
    <mergeCell ref="G354:Q354"/>
    <mergeCell ref="A383:F383"/>
    <mergeCell ref="G383:Q383"/>
    <mergeCell ref="A360:F360"/>
    <mergeCell ref="G360:Q360"/>
    <mergeCell ref="A361:F361"/>
    <mergeCell ref="G361:Q361"/>
    <mergeCell ref="A358:F358"/>
    <mergeCell ref="A362:F362"/>
    <mergeCell ref="A269:F269"/>
    <mergeCell ref="G269:Q269"/>
    <mergeCell ref="A353:F353"/>
    <mergeCell ref="G353:Q353"/>
    <mergeCell ref="G274:Q274"/>
    <mergeCell ref="A275:F275"/>
    <mergeCell ref="G275:Q275"/>
    <mergeCell ref="A335:F335"/>
    <mergeCell ref="A338:F338"/>
    <mergeCell ref="A352:F352"/>
    <mergeCell ref="G352:Q352"/>
    <mergeCell ref="A254:F254"/>
    <mergeCell ref="G254:Q254"/>
    <mergeCell ref="A255:F255"/>
    <mergeCell ref="G255:Q255"/>
    <mergeCell ref="A345:F345"/>
    <mergeCell ref="G345:Q345"/>
    <mergeCell ref="A274:F274"/>
    <mergeCell ref="A272:E272"/>
    <mergeCell ref="G338:Q338"/>
    <mergeCell ref="A149:E149"/>
    <mergeCell ref="G149:Q149"/>
    <mergeCell ref="A150:E150"/>
    <mergeCell ref="F150:Q150"/>
    <mergeCell ref="A250:E250"/>
    <mergeCell ref="G250:Q250"/>
    <mergeCell ref="A251:E251"/>
    <mergeCell ref="G251:Q251"/>
    <mergeCell ref="A337:E337"/>
    <mergeCell ref="A147:E147"/>
    <mergeCell ref="G147:Q147"/>
    <mergeCell ref="A148:E148"/>
    <mergeCell ref="G148:Q148"/>
    <mergeCell ref="A145:F145"/>
    <mergeCell ref="G145:Q145"/>
    <mergeCell ref="A146:E146"/>
    <mergeCell ref="G146:Q146"/>
    <mergeCell ref="A132:F132"/>
    <mergeCell ref="A133:F133"/>
    <mergeCell ref="A142:E142"/>
    <mergeCell ref="G142:Q142"/>
    <mergeCell ref="A141:F141"/>
    <mergeCell ref="G141:Q141"/>
    <mergeCell ref="G135:O135"/>
    <mergeCell ref="A137:E137"/>
    <mergeCell ref="G137:Q137"/>
    <mergeCell ref="A136:E136"/>
    <mergeCell ref="A130:F130"/>
    <mergeCell ref="G130:Q130"/>
    <mergeCell ref="A131:F131"/>
    <mergeCell ref="G131:Q131"/>
    <mergeCell ref="A372:E372"/>
    <mergeCell ref="A253:F253"/>
    <mergeCell ref="G253:Q253"/>
    <mergeCell ref="A340:F340"/>
    <mergeCell ref="G340:Q340"/>
    <mergeCell ref="A346:F346"/>
    <mergeCell ref="A256:F256"/>
    <mergeCell ref="A347:F347"/>
    <mergeCell ref="G347:Q347"/>
    <mergeCell ref="A348:F348"/>
    <mergeCell ref="A336:F336"/>
    <mergeCell ref="G336:Q336"/>
    <mergeCell ref="A329:F329"/>
    <mergeCell ref="G329:Q329"/>
    <mergeCell ref="A334:F334"/>
    <mergeCell ref="G334:Q334"/>
    <mergeCell ref="A331:E331"/>
    <mergeCell ref="A333:E333"/>
    <mergeCell ref="G333:Q333"/>
    <mergeCell ref="A332:E332"/>
    <mergeCell ref="G332:Q332"/>
    <mergeCell ref="A330:F330"/>
    <mergeCell ref="A322:F322"/>
    <mergeCell ref="G322:Q322"/>
    <mergeCell ref="A324:F324"/>
    <mergeCell ref="G324:Q324"/>
    <mergeCell ref="A323:F323"/>
    <mergeCell ref="G323:Q323"/>
    <mergeCell ref="A328:E328"/>
    <mergeCell ref="G328:Q328"/>
    <mergeCell ref="A325:F325"/>
    <mergeCell ref="G325:Q325"/>
    <mergeCell ref="A326:E326"/>
    <mergeCell ref="G326:Q326"/>
    <mergeCell ref="A327:E327"/>
    <mergeCell ref="G327:Q327"/>
    <mergeCell ref="A289:F289"/>
    <mergeCell ref="A300:E300"/>
    <mergeCell ref="G300:Q300"/>
    <mergeCell ref="A301:E301"/>
    <mergeCell ref="G301:Q301"/>
    <mergeCell ref="A291:F291"/>
    <mergeCell ref="G291:Q291"/>
    <mergeCell ref="A290:F290"/>
    <mergeCell ref="G290:Q290"/>
    <mergeCell ref="A293:F293"/>
    <mergeCell ref="G293:Q293"/>
    <mergeCell ref="A292:F292"/>
    <mergeCell ref="G292:Q292"/>
    <mergeCell ref="G236:Q236"/>
    <mergeCell ref="A237:E237"/>
    <mergeCell ref="G237:Q237"/>
    <mergeCell ref="G288:Q288"/>
    <mergeCell ref="A248:F248"/>
    <mergeCell ref="G248:Q248"/>
    <mergeCell ref="A249:F249"/>
    <mergeCell ref="G249:Q249"/>
    <mergeCell ref="A281:E281"/>
    <mergeCell ref="G281:Q281"/>
    <mergeCell ref="G225:Q225"/>
    <mergeCell ref="A215:E215"/>
    <mergeCell ref="G215:Q215"/>
    <mergeCell ref="G217:Q217"/>
    <mergeCell ref="A218:F218"/>
    <mergeCell ref="G218:Q218"/>
    <mergeCell ref="A216:E216"/>
    <mergeCell ref="G216:Q216"/>
    <mergeCell ref="G219:Q219"/>
    <mergeCell ref="G220:Q220"/>
    <mergeCell ref="G211:Q211"/>
    <mergeCell ref="A212:E212"/>
    <mergeCell ref="G212:Q212"/>
    <mergeCell ref="A214:E214"/>
    <mergeCell ref="G214:Q214"/>
    <mergeCell ref="G213:Q213"/>
    <mergeCell ref="A92:F92"/>
    <mergeCell ref="G92:Q92"/>
    <mergeCell ref="A94:F94"/>
    <mergeCell ref="G94:Q94"/>
    <mergeCell ref="A93:F93"/>
    <mergeCell ref="G93:Q93"/>
    <mergeCell ref="A96:F96"/>
    <mergeCell ref="G96:Q96"/>
    <mergeCell ref="A211:E211"/>
    <mergeCell ref="A91:E91"/>
    <mergeCell ref="G91:Q91"/>
    <mergeCell ref="A95:F95"/>
    <mergeCell ref="G95:Q95"/>
    <mergeCell ref="A97:F97"/>
    <mergeCell ref="G97:Q97"/>
    <mergeCell ref="A98:F98"/>
    <mergeCell ref="A77:E77"/>
    <mergeCell ref="G77:Q77"/>
    <mergeCell ref="A78:F78"/>
    <mergeCell ref="G78:Q78"/>
    <mergeCell ref="A81:F81"/>
    <mergeCell ref="G81:Q81"/>
    <mergeCell ref="A84:F84"/>
    <mergeCell ref="G84:Q84"/>
    <mergeCell ref="A83:F83"/>
    <mergeCell ref="G83:Q83"/>
    <mergeCell ref="A85:F85"/>
    <mergeCell ref="G82:Q82"/>
    <mergeCell ref="A288:F288"/>
    <mergeCell ref="A286:F286"/>
    <mergeCell ref="G170:Q170"/>
    <mergeCell ref="A247:F247"/>
    <mergeCell ref="G247:Q247"/>
    <mergeCell ref="A282:F282"/>
    <mergeCell ref="G282:Q282"/>
    <mergeCell ref="A268:F268"/>
    <mergeCell ref="A21:F21"/>
    <mergeCell ref="G21:Q21"/>
    <mergeCell ref="A223:E223"/>
    <mergeCell ref="G223:Q223"/>
    <mergeCell ref="A221:E221"/>
    <mergeCell ref="G221:Q221"/>
    <mergeCell ref="A222:E222"/>
    <mergeCell ref="A59:F59"/>
    <mergeCell ref="G59:Q59"/>
    <mergeCell ref="A70:F70"/>
    <mergeCell ref="G256:Q256"/>
    <mergeCell ref="A252:E252"/>
    <mergeCell ref="G252:Q252"/>
    <mergeCell ref="A287:F287"/>
    <mergeCell ref="G287:Q287"/>
    <mergeCell ref="A283:F283"/>
    <mergeCell ref="G283:Q283"/>
    <mergeCell ref="A285:F285"/>
    <mergeCell ref="G285:Q285"/>
    <mergeCell ref="A277:E277"/>
    <mergeCell ref="A284:F284"/>
    <mergeCell ref="G284:Q284"/>
    <mergeCell ref="G277:Q277"/>
    <mergeCell ref="A278:F278"/>
    <mergeCell ref="G278:Q278"/>
    <mergeCell ref="G279:Q279"/>
    <mergeCell ref="A279:E279"/>
    <mergeCell ref="A280:E280"/>
    <mergeCell ref="G70:Q70"/>
    <mergeCell ref="A66:F66"/>
    <mergeCell ref="G66:Q66"/>
    <mergeCell ref="A63:F63"/>
    <mergeCell ref="G63:Q63"/>
    <mergeCell ref="A64:E64"/>
    <mergeCell ref="G64:Q64"/>
    <mergeCell ref="W13:W14"/>
    <mergeCell ref="X13:X14"/>
    <mergeCell ref="A55:F55"/>
    <mergeCell ref="G55:Q55"/>
    <mergeCell ref="A53:F53"/>
    <mergeCell ref="G53:Q53"/>
    <mergeCell ref="G13:Q14"/>
    <mergeCell ref="R13:R14"/>
    <mergeCell ref="A16:F16"/>
    <mergeCell ref="G16:Q16"/>
    <mergeCell ref="A17:F17"/>
    <mergeCell ref="G17:Q17"/>
    <mergeCell ref="A65:F65"/>
    <mergeCell ref="G65:Q65"/>
    <mergeCell ref="A18:E18"/>
    <mergeCell ref="G18:Q18"/>
    <mergeCell ref="A20:F20"/>
    <mergeCell ref="G20:Q20"/>
    <mergeCell ref="A19:F19"/>
    <mergeCell ref="G19:Q19"/>
    <mergeCell ref="A1:V1"/>
    <mergeCell ref="A3:K3"/>
    <mergeCell ref="L3:N3"/>
    <mergeCell ref="A6:E6"/>
    <mergeCell ref="K4:Q4"/>
    <mergeCell ref="O3:P3"/>
    <mergeCell ref="A12:V12"/>
    <mergeCell ref="A13:F14"/>
    <mergeCell ref="G15:Q15"/>
    <mergeCell ref="S13:V13"/>
    <mergeCell ref="A15:F15"/>
    <mergeCell ref="A23:F23"/>
    <mergeCell ref="G23:Q23"/>
    <mergeCell ref="A24:F24"/>
    <mergeCell ref="G24:Q24"/>
    <mergeCell ref="A37:F37"/>
    <mergeCell ref="G37:Q37"/>
    <mergeCell ref="A36:F36"/>
    <mergeCell ref="G36:Q36"/>
    <mergeCell ref="A38:F38"/>
    <mergeCell ref="G38:Q38"/>
    <mergeCell ref="A39:F39"/>
    <mergeCell ref="G39:Q39"/>
    <mergeCell ref="A40:F40"/>
    <mergeCell ref="G40:Q40"/>
    <mergeCell ref="A41:F41"/>
    <mergeCell ref="G41:Q41"/>
    <mergeCell ref="A42:F42"/>
    <mergeCell ref="G42:Q42"/>
    <mergeCell ref="A45:F45"/>
    <mergeCell ref="G45:Q45"/>
    <mergeCell ref="A43:F43"/>
    <mergeCell ref="G43:Q43"/>
    <mergeCell ref="A44:F44"/>
    <mergeCell ref="G44:Q44"/>
    <mergeCell ref="A46:F46"/>
    <mergeCell ref="G46:Q46"/>
    <mergeCell ref="A54:F54"/>
    <mergeCell ref="G54:Q54"/>
    <mergeCell ref="A51:F51"/>
    <mergeCell ref="G51:Q51"/>
    <mergeCell ref="A52:F52"/>
    <mergeCell ref="G52:Q52"/>
    <mergeCell ref="A50:F50"/>
    <mergeCell ref="G50:Q50"/>
    <mergeCell ref="G103:Q103"/>
    <mergeCell ref="G98:Q98"/>
    <mergeCell ref="G101:Q101"/>
    <mergeCell ref="A99:F99"/>
    <mergeCell ref="G99:Q99"/>
    <mergeCell ref="A102:F102"/>
    <mergeCell ref="G102:Q102"/>
    <mergeCell ref="G167:Q167"/>
    <mergeCell ref="A108:F108"/>
    <mergeCell ref="G108:Q108"/>
    <mergeCell ref="A113:F113"/>
    <mergeCell ref="G113:Q113"/>
    <mergeCell ref="A110:F110"/>
    <mergeCell ref="G110:Q110"/>
    <mergeCell ref="A111:F111"/>
    <mergeCell ref="A129:F129"/>
    <mergeCell ref="G129:Q129"/>
    <mergeCell ref="G155:Q155"/>
    <mergeCell ref="A158:F158"/>
    <mergeCell ref="G158:Q158"/>
    <mergeCell ref="G156:Q156"/>
    <mergeCell ref="G157:Q157"/>
    <mergeCell ref="A156:F156"/>
    <mergeCell ref="A155:F155"/>
    <mergeCell ref="A157:F157"/>
    <mergeCell ref="A294:E294"/>
    <mergeCell ref="A295:E295"/>
    <mergeCell ref="G295:Q295"/>
    <mergeCell ref="A224:F224"/>
    <mergeCell ref="G224:Q224"/>
    <mergeCell ref="G243:Q243"/>
    <mergeCell ref="A238:F238"/>
    <mergeCell ref="G238:Q238"/>
    <mergeCell ref="A240:F240"/>
    <mergeCell ref="G240:Q240"/>
    <mergeCell ref="A297:F297"/>
    <mergeCell ref="G297:Q297"/>
    <mergeCell ref="A296:E296"/>
    <mergeCell ref="G296:Q296"/>
    <mergeCell ref="A246:F246"/>
    <mergeCell ref="G246:Q246"/>
    <mergeCell ref="A245:F245"/>
    <mergeCell ref="G245:Q245"/>
    <mergeCell ref="A298:F298"/>
    <mergeCell ref="G298:Q298"/>
    <mergeCell ref="G299:Q299"/>
    <mergeCell ref="A299:E299"/>
    <mergeCell ref="G302:Q302"/>
    <mergeCell ref="A305:F305"/>
    <mergeCell ref="G305:Q305"/>
    <mergeCell ref="A304:F304"/>
    <mergeCell ref="G304:Q304"/>
    <mergeCell ref="A303:F303"/>
    <mergeCell ref="G303:Q303"/>
    <mergeCell ref="A312:F312"/>
    <mergeCell ref="G312:Q312"/>
    <mergeCell ref="A309:E309"/>
    <mergeCell ref="G309:Q309"/>
    <mergeCell ref="A311:F311"/>
    <mergeCell ref="G311:Q311"/>
    <mergeCell ref="A310:F310"/>
    <mergeCell ref="G310:Q310"/>
    <mergeCell ref="A313:F313"/>
    <mergeCell ref="G313:Q313"/>
    <mergeCell ref="A316:F316"/>
    <mergeCell ref="G316:Q316"/>
    <mergeCell ref="A315:F315"/>
    <mergeCell ref="G315:Q315"/>
    <mergeCell ref="A314:F314"/>
    <mergeCell ref="G314:Q314"/>
    <mergeCell ref="A339:F339"/>
    <mergeCell ref="G339:Q339"/>
    <mergeCell ref="A363:F363"/>
    <mergeCell ref="G363:Q363"/>
    <mergeCell ref="A349:F349"/>
    <mergeCell ref="G348:Q348"/>
    <mergeCell ref="A341:F341"/>
    <mergeCell ref="G341:Q341"/>
    <mergeCell ref="A342:F342"/>
    <mergeCell ref="G342:Q342"/>
    <mergeCell ref="A365:F365"/>
    <mergeCell ref="G365:Q365"/>
    <mergeCell ref="A364:E364"/>
    <mergeCell ref="G364:Q364"/>
    <mergeCell ref="A366:F366"/>
    <mergeCell ref="G366:Q366"/>
    <mergeCell ref="A367:F367"/>
    <mergeCell ref="G367:Q367"/>
    <mergeCell ref="A368:F368"/>
    <mergeCell ref="G368:Q368"/>
    <mergeCell ref="A373:F373"/>
    <mergeCell ref="G373:Q373"/>
    <mergeCell ref="A369:F369"/>
    <mergeCell ref="A370:F370"/>
    <mergeCell ref="G370:Q370"/>
    <mergeCell ref="A371:F371"/>
    <mergeCell ref="G371:Q371"/>
    <mergeCell ref="G372:Q372"/>
    <mergeCell ref="A374:F374"/>
    <mergeCell ref="G374:Q374"/>
    <mergeCell ref="A378:F378"/>
    <mergeCell ref="G378:Q378"/>
    <mergeCell ref="A377:F377"/>
    <mergeCell ref="G377:Q377"/>
    <mergeCell ref="A375:F375"/>
    <mergeCell ref="G375:Q375"/>
    <mergeCell ref="A376:F376"/>
    <mergeCell ref="G376:Q376"/>
    <mergeCell ref="A382:F382"/>
    <mergeCell ref="G382:Q382"/>
    <mergeCell ref="A379:F379"/>
    <mergeCell ref="G379:Q379"/>
    <mergeCell ref="A380:F380"/>
    <mergeCell ref="G380:Q380"/>
    <mergeCell ref="A381:F381"/>
    <mergeCell ref="G381:Q381"/>
    <mergeCell ref="A384:F384"/>
    <mergeCell ref="G384:Q384"/>
    <mergeCell ref="A386:F386"/>
    <mergeCell ref="A385:F385"/>
    <mergeCell ref="G385:Q385"/>
    <mergeCell ref="G386:Q386"/>
    <mergeCell ref="K390:L390"/>
    <mergeCell ref="N390:O390"/>
    <mergeCell ref="P390:R390"/>
    <mergeCell ref="S389:V389"/>
    <mergeCell ref="G11:P11"/>
    <mergeCell ref="A11:C11"/>
    <mergeCell ref="S392:V392"/>
    <mergeCell ref="A394:B394"/>
    <mergeCell ref="A392:I392"/>
    <mergeCell ref="K392:L392"/>
    <mergeCell ref="N392:O392"/>
    <mergeCell ref="S390:V390"/>
    <mergeCell ref="A391:H391"/>
    <mergeCell ref="I391:M391"/>
    <mergeCell ref="A9:H9"/>
    <mergeCell ref="A8:F8"/>
    <mergeCell ref="F6:R6"/>
    <mergeCell ref="H7:S7"/>
    <mergeCell ref="A7:G7"/>
    <mergeCell ref="P392:R392"/>
    <mergeCell ref="A393:C393"/>
    <mergeCell ref="N391:R391"/>
    <mergeCell ref="A387:Q387"/>
    <mergeCell ref="A388:V388"/>
    <mergeCell ref="A389:H389"/>
    <mergeCell ref="I389:M389"/>
    <mergeCell ref="N389:R389"/>
    <mergeCell ref="S391:V391"/>
    <mergeCell ref="A390:I390"/>
    <mergeCell ref="G61:Q61"/>
    <mergeCell ref="A62:F62"/>
    <mergeCell ref="G62:Q62"/>
    <mergeCell ref="A87:E87"/>
    <mergeCell ref="G69:Q69"/>
    <mergeCell ref="A72:F72"/>
    <mergeCell ref="G72:Q72"/>
    <mergeCell ref="A80:F80"/>
    <mergeCell ref="G85:Q85"/>
    <mergeCell ref="G79:Q79"/>
    <mergeCell ref="G330:Q330"/>
    <mergeCell ref="G331:Q331"/>
    <mergeCell ref="A167:F167"/>
    <mergeCell ref="G160:Q160"/>
    <mergeCell ref="G244:Q244"/>
    <mergeCell ref="A241:F241"/>
    <mergeCell ref="A243:F243"/>
    <mergeCell ref="A239:F239"/>
    <mergeCell ref="G239:Q239"/>
    <mergeCell ref="G241:Q241"/>
    <mergeCell ref="A159:E159"/>
    <mergeCell ref="G159:Q159"/>
    <mergeCell ref="G164:Q164"/>
    <mergeCell ref="G165:Q165"/>
    <mergeCell ref="G161:Q161"/>
    <mergeCell ref="A165:F165"/>
    <mergeCell ref="G162:Q162"/>
    <mergeCell ref="A163:F163"/>
    <mergeCell ref="G163:Q163"/>
    <mergeCell ref="A168:F168"/>
    <mergeCell ref="G168:Q168"/>
    <mergeCell ref="G226:Q226"/>
    <mergeCell ref="G187:Q187"/>
    <mergeCell ref="G177:Q177"/>
    <mergeCell ref="A176:E176"/>
    <mergeCell ref="A170:F170"/>
    <mergeCell ref="G186:Q186"/>
    <mergeCell ref="A182:E182"/>
    <mergeCell ref="A173:F173"/>
    <mergeCell ref="A227:E227"/>
    <mergeCell ref="G227:Q227"/>
    <mergeCell ref="A228:E228"/>
    <mergeCell ref="G228:Q228"/>
    <mergeCell ref="G123:Q123"/>
    <mergeCell ref="G125:Q125"/>
    <mergeCell ref="A126:F126"/>
    <mergeCell ref="G126:Q126"/>
    <mergeCell ref="G124:Q124"/>
    <mergeCell ref="A125:F125"/>
    <mergeCell ref="A127:F127"/>
    <mergeCell ref="G127:Q127"/>
    <mergeCell ref="A128:F128"/>
    <mergeCell ref="A100:F100"/>
    <mergeCell ref="G122:Q122"/>
    <mergeCell ref="A101:F101"/>
    <mergeCell ref="A106:F106"/>
    <mergeCell ref="G106:Q106"/>
    <mergeCell ref="A104:F104"/>
    <mergeCell ref="G104:Q104"/>
    <mergeCell ref="G128:Q128"/>
    <mergeCell ref="G140:Q140"/>
    <mergeCell ref="A82:F82"/>
    <mergeCell ref="A160:F160"/>
    <mergeCell ref="A151:F151"/>
    <mergeCell ref="A123:F123"/>
    <mergeCell ref="A124:E124"/>
    <mergeCell ref="A107:F107"/>
    <mergeCell ref="A135:E135"/>
    <mergeCell ref="A122:E122"/>
    <mergeCell ref="A134:F134"/>
    <mergeCell ref="G134:Q134"/>
    <mergeCell ref="A152:E152"/>
    <mergeCell ref="G152:Q152"/>
    <mergeCell ref="A140:E140"/>
    <mergeCell ref="A138:E138"/>
    <mergeCell ref="A143:F143"/>
    <mergeCell ref="G143:Q143"/>
    <mergeCell ref="A144:F144"/>
    <mergeCell ref="G144:Q144"/>
    <mergeCell ref="A114:E114"/>
    <mergeCell ref="A120:F120"/>
    <mergeCell ref="G208:Q208"/>
    <mergeCell ref="G192:Q192"/>
    <mergeCell ref="G132:Q132"/>
    <mergeCell ref="G138:Q138"/>
    <mergeCell ref="G136:Q136"/>
    <mergeCell ref="G133:Q133"/>
    <mergeCell ref="G166:Q166"/>
    <mergeCell ref="G169:Q169"/>
    <mergeCell ref="A86:F86"/>
    <mergeCell ref="A162:E162"/>
    <mergeCell ref="A89:E89"/>
    <mergeCell ref="A88:E88"/>
    <mergeCell ref="A109:F109"/>
    <mergeCell ref="A105:F105"/>
    <mergeCell ref="A103:F103"/>
    <mergeCell ref="A90:F90"/>
    <mergeCell ref="A161:E161"/>
    <mergeCell ref="A121:F121"/>
    <mergeCell ref="A139:E139"/>
    <mergeCell ref="A164:F164"/>
    <mergeCell ref="A169:F169"/>
    <mergeCell ref="A154:F154"/>
    <mergeCell ref="F139:Q139"/>
    <mergeCell ref="G154:Q154"/>
    <mergeCell ref="G151:Q151"/>
    <mergeCell ref="A153:E153"/>
    <mergeCell ref="G153:Q153"/>
    <mergeCell ref="A166:F166"/>
    <mergeCell ref="G182:Q182"/>
    <mergeCell ref="A183:E183"/>
    <mergeCell ref="G183:Q183"/>
    <mergeCell ref="A184:E184"/>
    <mergeCell ref="G184:Q184"/>
    <mergeCell ref="G185:Q185"/>
    <mergeCell ref="A200:F200"/>
    <mergeCell ref="A306:F306"/>
    <mergeCell ref="G306:Q306"/>
    <mergeCell ref="A191:E191"/>
    <mergeCell ref="A209:E209"/>
    <mergeCell ref="G209:Q209"/>
    <mergeCell ref="A208:E208"/>
    <mergeCell ref="A234:F234"/>
    <mergeCell ref="G231:Q231"/>
    <mergeCell ref="A220:E220"/>
    <mergeCell ref="A225:F225"/>
    <mergeCell ref="A180:E180"/>
    <mergeCell ref="A206:E206"/>
    <mergeCell ref="A185:E185"/>
    <mergeCell ref="A219:E219"/>
    <mergeCell ref="A217:E217"/>
    <mergeCell ref="A197:E197"/>
    <mergeCell ref="G206:Q206"/>
    <mergeCell ref="A207:F207"/>
    <mergeCell ref="G190:Q190"/>
    <mergeCell ref="G191:Q191"/>
    <mergeCell ref="A192:E192"/>
    <mergeCell ref="G207:Q207"/>
    <mergeCell ref="A193:E193"/>
    <mergeCell ref="G193:Q193"/>
    <mergeCell ref="G198:Q198"/>
    <mergeCell ref="A195:E195"/>
    <mergeCell ref="G369:Q369"/>
    <mergeCell ref="G337:Q337"/>
    <mergeCell ref="G294:Q294"/>
    <mergeCell ref="G268:Q268"/>
    <mergeCell ref="G286:Q286"/>
    <mergeCell ref="G289:Q289"/>
    <mergeCell ref="G307:Q307"/>
    <mergeCell ref="G280:Q280"/>
    <mergeCell ref="G335:Q335"/>
    <mergeCell ref="G346:Q346"/>
    <mergeCell ref="G349:Q349"/>
    <mergeCell ref="G210:Q210"/>
    <mergeCell ref="A186:E186"/>
    <mergeCell ref="A187:E187"/>
    <mergeCell ref="A188:E188"/>
    <mergeCell ref="A189:E189"/>
    <mergeCell ref="A190:E190"/>
    <mergeCell ref="G188:Q188"/>
    <mergeCell ref="G189:Q189"/>
    <mergeCell ref="G232:Q232"/>
    <mergeCell ref="A22:F22"/>
    <mergeCell ref="G22:Q22"/>
    <mergeCell ref="A28:F28"/>
    <mergeCell ref="G28:Q28"/>
    <mergeCell ref="A25:F25"/>
    <mergeCell ref="G25:Q25"/>
    <mergeCell ref="A27:F27"/>
    <mergeCell ref="G27:Q27"/>
    <mergeCell ref="A26:E26"/>
    <mergeCell ref="G26:Q26"/>
    <mergeCell ref="A29:F29"/>
    <mergeCell ref="G29:Q29"/>
    <mergeCell ref="A32:F32"/>
    <mergeCell ref="G32:Q32"/>
    <mergeCell ref="A30:F30"/>
    <mergeCell ref="G30:Q30"/>
    <mergeCell ref="A31:F31"/>
    <mergeCell ref="G31:Q31"/>
    <mergeCell ref="A33:F33"/>
    <mergeCell ref="G33:Q33"/>
    <mergeCell ref="A35:F35"/>
    <mergeCell ref="G35:Q35"/>
    <mergeCell ref="A34:F34"/>
    <mergeCell ref="G34:Q34"/>
    <mergeCell ref="A47:F47"/>
    <mergeCell ref="G47:Q47"/>
    <mergeCell ref="A48:F48"/>
    <mergeCell ref="G48:Q48"/>
    <mergeCell ref="A49:F49"/>
    <mergeCell ref="G49:Q49"/>
    <mergeCell ref="A58:F58"/>
    <mergeCell ref="G58:Q58"/>
    <mergeCell ref="A56:F56"/>
    <mergeCell ref="G56:Q56"/>
    <mergeCell ref="A57:F57"/>
    <mergeCell ref="G57:Q57"/>
    <mergeCell ref="A60:F60"/>
    <mergeCell ref="G60:Q60"/>
    <mergeCell ref="A71:F71"/>
    <mergeCell ref="G71:P71"/>
    <mergeCell ref="A67:F67"/>
    <mergeCell ref="G67:Q67"/>
    <mergeCell ref="A68:F68"/>
    <mergeCell ref="G68:Q68"/>
    <mergeCell ref="A69:F69"/>
    <mergeCell ref="A61:F61"/>
    <mergeCell ref="A76:F76"/>
    <mergeCell ref="G86:Q86"/>
    <mergeCell ref="G114:Q114"/>
    <mergeCell ref="A116:F116"/>
    <mergeCell ref="G80:Q80"/>
    <mergeCell ref="A79:F79"/>
    <mergeCell ref="G111:Q111"/>
    <mergeCell ref="A112:F112"/>
    <mergeCell ref="G112:Q112"/>
    <mergeCell ref="G107:Q107"/>
    <mergeCell ref="A73:F73"/>
    <mergeCell ref="G73:Q73"/>
    <mergeCell ref="A74:F74"/>
    <mergeCell ref="A75:F75"/>
    <mergeCell ref="G74:Q74"/>
    <mergeCell ref="G75:Q75"/>
    <mergeCell ref="G76:Q76"/>
    <mergeCell ref="G87:Q87"/>
    <mergeCell ref="G116:Q116"/>
    <mergeCell ref="G121:Q121"/>
    <mergeCell ref="G89:Q89"/>
    <mergeCell ref="G88:Q88"/>
    <mergeCell ref="G109:Q109"/>
    <mergeCell ref="G105:Q105"/>
    <mergeCell ref="G90:Q90"/>
    <mergeCell ref="G100:Q100"/>
    <mergeCell ref="A115:E115"/>
    <mergeCell ref="G115:Q115"/>
    <mergeCell ref="A117:F117"/>
    <mergeCell ref="G117:Q117"/>
    <mergeCell ref="A118:F118"/>
    <mergeCell ref="G119:Q119"/>
    <mergeCell ref="G120:Q120"/>
    <mergeCell ref="G118:Q118"/>
    <mergeCell ref="A119:F119"/>
    <mergeCell ref="A350:F350"/>
    <mergeCell ref="G350:Q350"/>
    <mergeCell ref="A351:F351"/>
    <mergeCell ref="G351:Q351"/>
    <mergeCell ref="A308:E308"/>
    <mergeCell ref="G308:Q308"/>
    <mergeCell ref="G234:Q234"/>
    <mergeCell ref="G235:Q235"/>
    <mergeCell ref="A276:F276"/>
    <mergeCell ref="G276:Q276"/>
    <mergeCell ref="A242:F242"/>
    <mergeCell ref="G242:Q242"/>
    <mergeCell ref="A244:F244"/>
    <mergeCell ref="A302:F302"/>
    <mergeCell ref="G176:Q176"/>
    <mergeCell ref="A177:F177"/>
    <mergeCell ref="A181:E181"/>
    <mergeCell ref="A307:E307"/>
    <mergeCell ref="G181:Q181"/>
    <mergeCell ref="A178:E178"/>
    <mergeCell ref="G178:Q178"/>
    <mergeCell ref="G179:Q179"/>
    <mergeCell ref="A179:E179"/>
    <mergeCell ref="G180:Q180"/>
    <mergeCell ref="A171:F171"/>
    <mergeCell ref="G175:Q175"/>
    <mergeCell ref="G174:Q174"/>
    <mergeCell ref="G171:Q171"/>
    <mergeCell ref="A174:F174"/>
    <mergeCell ref="A175:F175"/>
    <mergeCell ref="G173:Q173"/>
    <mergeCell ref="A172:F172"/>
    <mergeCell ref="G172:Q172"/>
    <mergeCell ref="A321:F321"/>
    <mergeCell ref="G321:Q321"/>
    <mergeCell ref="A318:F318"/>
    <mergeCell ref="G318:O318"/>
    <mergeCell ref="A320:F320"/>
    <mergeCell ref="G320:Q320"/>
    <mergeCell ref="A319:F319"/>
    <mergeCell ref="G319:Q319"/>
    <mergeCell ref="G195:Q195"/>
    <mergeCell ref="A199:F199"/>
    <mergeCell ref="G199:O199"/>
    <mergeCell ref="A194:E194"/>
    <mergeCell ref="G194:Q194"/>
    <mergeCell ref="A196:E196"/>
    <mergeCell ref="G196:Q196"/>
    <mergeCell ref="A198:E198"/>
    <mergeCell ref="G197:Q197"/>
    <mergeCell ref="G201:Q201"/>
    <mergeCell ref="G202:Q202"/>
    <mergeCell ref="G200:O200"/>
    <mergeCell ref="A201:F201"/>
    <mergeCell ref="A202:F202"/>
    <mergeCell ref="A263:F263"/>
    <mergeCell ref="G263:Q263"/>
    <mergeCell ref="G229:Q229"/>
    <mergeCell ref="A203:F203"/>
    <mergeCell ref="G203:Q203"/>
    <mergeCell ref="A213:E213"/>
    <mergeCell ref="A233:F233"/>
    <mergeCell ref="A231:E231"/>
    <mergeCell ref="A232:E232"/>
    <mergeCell ref="A229:F229"/>
    <mergeCell ref="G205:Q205"/>
    <mergeCell ref="A205:F205"/>
    <mergeCell ref="A262:F262"/>
    <mergeCell ref="G262:Q262"/>
    <mergeCell ref="A226:F226"/>
    <mergeCell ref="A210:E210"/>
    <mergeCell ref="A235:E235"/>
    <mergeCell ref="A236:E236"/>
    <mergeCell ref="G222:Q222"/>
    <mergeCell ref="G233:Q233"/>
    <mergeCell ref="G266:O266"/>
    <mergeCell ref="A264:F264"/>
    <mergeCell ref="G264:Q264"/>
    <mergeCell ref="A265:F265"/>
    <mergeCell ref="A344:F344"/>
    <mergeCell ref="G344:Q344"/>
    <mergeCell ref="A204:F204"/>
    <mergeCell ref="G204:Q204"/>
    <mergeCell ref="A343:F343"/>
    <mergeCell ref="G343:Q343"/>
    <mergeCell ref="A267:F267"/>
    <mergeCell ref="G267:O267"/>
    <mergeCell ref="A266:F266"/>
    <mergeCell ref="G265:O265"/>
  </mergeCells>
  <printOptions horizontalCentered="1"/>
  <pageMargins left="0" right="0" top="0.6692913385826772" bottom="0.275590551181102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Алябьевский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Пользователь</dc:creator>
  <cp:keywords/>
  <dc:description/>
  <cp:lastModifiedBy>GLBUH</cp:lastModifiedBy>
  <cp:lastPrinted>2012-12-20T09:02:26Z</cp:lastPrinted>
  <dcterms:created xsi:type="dcterms:W3CDTF">2008-06-09T11:33:47Z</dcterms:created>
  <dcterms:modified xsi:type="dcterms:W3CDTF">2012-12-26T09:56:58Z</dcterms:modified>
  <cp:category/>
  <cp:version/>
  <cp:contentType/>
  <cp:contentStatus/>
</cp:coreProperties>
</file>