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10.10.2012" sheetId="1" r:id="rId1"/>
    <sheet name="31.10.2012" sheetId="2" r:id="rId2"/>
    <sheet name="01.11.201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<sst xmlns="http://schemas.openxmlformats.org/spreadsheetml/2006/main" count="424" uniqueCount="121">
  <si>
    <t>0102</t>
  </si>
  <si>
    <t>0104</t>
  </si>
  <si>
    <t>озеленение</t>
  </si>
  <si>
    <t>кладбище</t>
  </si>
  <si>
    <t>благоустройство</t>
  </si>
  <si>
    <t>0801</t>
  </si>
  <si>
    <t>кск</t>
  </si>
  <si>
    <t>1101</t>
  </si>
  <si>
    <t>расчет</t>
  </si>
  <si>
    <t>ЗАГС</t>
  </si>
  <si>
    <t>ВУС</t>
  </si>
  <si>
    <t>0111 (УУР)</t>
  </si>
  <si>
    <t xml:space="preserve"> </t>
  </si>
  <si>
    <t>Субсидии на дороги</t>
  </si>
  <si>
    <t>1</t>
  </si>
  <si>
    <t>9</t>
  </si>
  <si>
    <t>10</t>
  </si>
  <si>
    <t>11</t>
  </si>
  <si>
    <t>В РЕШЕНИЕ!!! (+ВУС,ЗАГС)</t>
  </si>
  <si>
    <t>Уточн.план. 2012г.</t>
  </si>
  <si>
    <t>0113,0900200,244</t>
  </si>
  <si>
    <t>0113,0939900,244</t>
  </si>
  <si>
    <t>Милиция</t>
  </si>
  <si>
    <t xml:space="preserve">0203,0013600 </t>
  </si>
  <si>
    <t xml:space="preserve">0302,2026700,244 </t>
  </si>
  <si>
    <t xml:space="preserve">0304,0013802,244 </t>
  </si>
  <si>
    <t>0309,2180100</t>
  </si>
  <si>
    <t>ГО и ЧС</t>
  </si>
  <si>
    <t>0314,7953100</t>
  </si>
  <si>
    <t>Нац безоп и правоохр деят</t>
  </si>
  <si>
    <t>0401</t>
  </si>
  <si>
    <t>ЦЗ</t>
  </si>
  <si>
    <t>0409,3150100,244</t>
  </si>
  <si>
    <t>Дороги</t>
  </si>
  <si>
    <t>0410,3300200</t>
  </si>
  <si>
    <t>0412,5226300,244</t>
  </si>
  <si>
    <t>Энергосбережение</t>
  </si>
  <si>
    <t>0501,5227000,810</t>
  </si>
  <si>
    <t>Наш дом - округ</t>
  </si>
  <si>
    <t>0501,3500200</t>
  </si>
  <si>
    <t>Наш дом - поселение</t>
  </si>
  <si>
    <t>Наш дом - район</t>
  </si>
  <si>
    <t>0501,3500300,244</t>
  </si>
  <si>
    <t>Жил хозяйство</t>
  </si>
  <si>
    <t>0501,7952100,810</t>
  </si>
  <si>
    <t>0503,5227000,244</t>
  </si>
  <si>
    <t>0503,7952100,244</t>
  </si>
  <si>
    <t>0503,6000100,244</t>
  </si>
  <si>
    <t>0503,6000300,244</t>
  </si>
  <si>
    <t>0503,6000400,244</t>
  </si>
  <si>
    <t>0503,6000500,244</t>
  </si>
  <si>
    <t>0707</t>
  </si>
  <si>
    <t>Л.О.</t>
  </si>
  <si>
    <t>1101,5129700,611</t>
  </si>
  <si>
    <t>СК мероприятия</t>
  </si>
  <si>
    <t>1003,5140100</t>
  </si>
  <si>
    <t>Погорельцы</t>
  </si>
  <si>
    <t>Почетные</t>
  </si>
  <si>
    <t>Рез.фонд, УУР</t>
  </si>
  <si>
    <t>1403,5210300</t>
  </si>
  <si>
    <t>МБТ</t>
  </si>
  <si>
    <t>1001,4910100,312</t>
  </si>
  <si>
    <t>1101,4829900,611</t>
  </si>
  <si>
    <t>1101,4829900,612</t>
  </si>
  <si>
    <t>0801,4409900,611</t>
  </si>
  <si>
    <t>0801,4409900,612</t>
  </si>
  <si>
    <t>223,225,226,340</t>
  </si>
  <si>
    <t>221,инфор техн,310,340</t>
  </si>
  <si>
    <t>Льготный проезд, 212</t>
  </si>
  <si>
    <t>0113,0920305,122</t>
  </si>
  <si>
    <t>уличное освещение</t>
  </si>
  <si>
    <t>выплаты пенсия</t>
  </si>
  <si>
    <t xml:space="preserve">09.10.2012г. Первоначальный План 2013г. </t>
  </si>
  <si>
    <t xml:space="preserve">Уточн.план. 2012г. Без окр район и проч </t>
  </si>
  <si>
    <t>3</t>
  </si>
  <si>
    <t>4</t>
  </si>
  <si>
    <t>5</t>
  </si>
  <si>
    <t>0502,3510500,810</t>
  </si>
  <si>
    <t>Выпадающий доход</t>
  </si>
  <si>
    <t>6</t>
  </si>
  <si>
    <t>7</t>
  </si>
  <si>
    <t>8</t>
  </si>
  <si>
    <t>д.б.</t>
  </si>
  <si>
    <t xml:space="preserve"> -без 0111</t>
  </si>
  <si>
    <t>План 2014г. - от гр.6</t>
  </si>
  <si>
    <t>План 2015г. - от гр.9</t>
  </si>
  <si>
    <t>211</t>
  </si>
  <si>
    <t>213</t>
  </si>
  <si>
    <t>212</t>
  </si>
  <si>
    <t>221</t>
  </si>
  <si>
    <t>226</t>
  </si>
  <si>
    <t>290</t>
  </si>
  <si>
    <t>310</t>
  </si>
  <si>
    <t>340</t>
  </si>
  <si>
    <t>Итого 0104</t>
  </si>
  <si>
    <t>Итого 0102</t>
  </si>
  <si>
    <t>Факт 2012г.</t>
  </si>
  <si>
    <t>0113,0939900,244,226</t>
  </si>
  <si>
    <t>ВСЕГО</t>
  </si>
  <si>
    <t>План 2013г.</t>
  </si>
  <si>
    <t>(Уборщица - 114055руб)</t>
  </si>
  <si>
    <t xml:space="preserve">Выборы </t>
  </si>
  <si>
    <t xml:space="preserve"> +страхование имущ-ва</t>
  </si>
  <si>
    <t>ВСЕГО по 0100:</t>
  </si>
  <si>
    <t>Норматив по 0100</t>
  </si>
  <si>
    <t>Разница</t>
  </si>
  <si>
    <r>
      <t xml:space="preserve">09.10.2012г. Первоначальный </t>
    </r>
    <r>
      <rPr>
        <u val="single"/>
        <sz val="8"/>
        <color indexed="10"/>
        <rFont val="Arial Cyr"/>
        <family val="0"/>
      </rPr>
      <t>План 2013г. -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color indexed="12"/>
        <rFont val="Arial Cyr"/>
        <family val="0"/>
      </rPr>
      <t>УТОЧНЕННЫЙ</t>
    </r>
  </si>
  <si>
    <t>План 2013г. Уточненный</t>
  </si>
  <si>
    <t>(Вед.спец.-секретарь - 345050руб)</t>
  </si>
  <si>
    <t>0107,0020002,244</t>
  </si>
  <si>
    <t>0107,0020003,244</t>
  </si>
  <si>
    <t>Выборы главы</t>
  </si>
  <si>
    <t>Выборы депутатов</t>
  </si>
  <si>
    <t>Софинансирование на ремонт и строительство дорог - средства поселения</t>
  </si>
  <si>
    <t xml:space="preserve"> 01.11.2012г.</t>
  </si>
  <si>
    <t xml:space="preserve"> 31.10.2012г.</t>
  </si>
  <si>
    <t>Добавлено: Наш дом (1260,7т.р.)</t>
  </si>
  <si>
    <t>Добавлено: ВУС (282,0т.р.); ЗАГС (16,8т.р.)</t>
  </si>
  <si>
    <t xml:space="preserve"> -без 0111,ВУС,ЗАГС,Наш дом</t>
  </si>
  <si>
    <t>для расчета</t>
  </si>
  <si>
    <t>БЮДЖЕТ на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</si>
</sst>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00"/>
    <numFmt numFmtId="166" formatCode="#,##0.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u val="single"/>
      <sz val="8"/>
      <color indexed="10"/>
      <name val="Arial Cyr"/>
      <family val="0"/>
    </font>
    <font>
      <u val="single"/>
      <sz val="8"/>
      <name val="Arial Cyr"/>
      <family val="0"/>
    </font>
    <font>
      <b/>
      <sz val="10"/>
      <color indexed="12"/>
      <name val="Arial Cyr"/>
      <family val="0"/>
    </font>
    <font>
      <b/>
      <u val="single"/>
      <sz val="8"/>
      <color indexed="12"/>
      <name val="Arial Cyr"/>
      <family val="0"/>
    </font>
    <font>
      <sz val="8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4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4" fontId="0" fillId="0" borderId="4" xfId="0" applyNumberFormat="1" applyFill="1" applyBorder="1" applyAlignment="1">
      <alignment horizontal="center"/>
    </xf>
    <xf numFmtId="4" fontId="2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4" fontId="0" fillId="3" borderId="13" xfId="0" applyNumberFormat="1" applyFill="1" applyBorder="1" applyAlignment="1">
      <alignment horizontal="right"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0" fillId="0" borderId="2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1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6" fontId="2" fillId="0" borderId="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4" fontId="2" fillId="0" borderId="4" xfId="0" applyNumberFormat="1" applyFont="1" applyBorder="1" applyAlignment="1">
      <alignment horizontal="right"/>
    </xf>
    <xf numFmtId="166" fontId="0" fillId="3" borderId="13" xfId="0" applyNumberForma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4" fillId="0" borderId="11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9" fillId="4" borderId="0" xfId="0" applyNumberFormat="1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15" fillId="0" borderId="11" xfId="0" applyNumberFormat="1" applyFont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" fontId="0" fillId="3" borderId="2" xfId="0" applyNumberFormat="1" applyFill="1" applyBorder="1" applyAlignment="1">
      <alignment horizontal="right"/>
    </xf>
    <xf numFmtId="4" fontId="0" fillId="3" borderId="11" xfId="0" applyNumberFormat="1" applyFill="1" applyBorder="1" applyAlignment="1">
      <alignment horizontal="right"/>
    </xf>
    <xf numFmtId="166" fontId="0" fillId="3" borderId="2" xfId="0" applyNumberFormat="1" applyFill="1" applyBorder="1" applyAlignment="1">
      <alignment/>
    </xf>
    <xf numFmtId="166" fontId="0" fillId="3" borderId="0" xfId="0" applyNumberForma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8" fillId="3" borderId="11" xfId="0" applyNumberFormat="1" applyFont="1" applyFill="1" applyBorder="1" applyAlignment="1">
      <alignment horizontal="left"/>
    </xf>
    <xf numFmtId="0" fontId="2" fillId="5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4" fontId="0" fillId="3" borderId="3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6" fontId="2" fillId="7" borderId="0" xfId="0" applyNumberFormat="1" applyFont="1" applyFill="1" applyBorder="1" applyAlignment="1">
      <alignment horizontal="right"/>
    </xf>
    <xf numFmtId="4" fontId="2" fillId="7" borderId="2" xfId="0" applyNumberFormat="1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zoomScale="80" zoomScaleNormal="80" workbookViewId="0" topLeftCell="A1">
      <selection activeCell="A1" sqref="A1:IV16384"/>
    </sheetView>
  </sheetViews>
  <sheetFormatPr defaultColWidth="9.00390625" defaultRowHeight="12.75"/>
  <cols>
    <col min="1" max="1" width="20.75390625" style="0" customWidth="1"/>
    <col min="2" max="2" width="19.375" style="28" customWidth="1"/>
    <col min="3" max="4" width="14.00390625" style="1" customWidth="1"/>
    <col min="5" max="6" width="14.375" style="1" customWidth="1"/>
    <col min="7" max="8" width="9.75390625" style="0" customWidth="1"/>
    <col min="9" max="9" width="12.625" style="0" bestFit="1" customWidth="1"/>
    <col min="10" max="10" width="11.75390625" style="0" customWidth="1"/>
    <col min="11" max="11" width="10.375" style="0" customWidth="1"/>
    <col min="12" max="12" width="13.625" style="0" bestFit="1" customWidth="1"/>
  </cols>
  <sheetData>
    <row r="1" spans="1:12" s="5" customFormat="1" ht="15" customHeight="1">
      <c r="A1" s="117"/>
      <c r="B1" s="118"/>
      <c r="C1" s="120" t="s">
        <v>19</v>
      </c>
      <c r="D1" s="120" t="s">
        <v>73</v>
      </c>
      <c r="E1" s="124" t="s">
        <v>72</v>
      </c>
      <c r="F1" s="124" t="s">
        <v>106</v>
      </c>
      <c r="G1" s="125">
        <v>2014</v>
      </c>
      <c r="H1" s="126"/>
      <c r="I1" s="127"/>
      <c r="J1" s="128">
        <v>2015</v>
      </c>
      <c r="K1" s="129"/>
      <c r="L1" s="130"/>
    </row>
    <row r="2" spans="1:12" s="5" customFormat="1" ht="37.5" customHeight="1">
      <c r="A2" s="117"/>
      <c r="B2" s="119"/>
      <c r="C2" s="120"/>
      <c r="D2" s="120"/>
      <c r="E2" s="124"/>
      <c r="F2" s="124"/>
      <c r="G2" s="7" t="s">
        <v>8</v>
      </c>
      <c r="H2" s="6" t="s">
        <v>84</v>
      </c>
      <c r="I2" s="20" t="s">
        <v>18</v>
      </c>
      <c r="J2" s="7" t="s">
        <v>8</v>
      </c>
      <c r="K2" s="6" t="s">
        <v>85</v>
      </c>
      <c r="L2" s="20" t="s">
        <v>18</v>
      </c>
    </row>
    <row r="3" spans="1:12" s="2" customFormat="1" ht="12.75">
      <c r="A3" s="19" t="s">
        <v>14</v>
      </c>
      <c r="B3" s="31"/>
      <c r="C3" s="19">
        <v>2</v>
      </c>
      <c r="D3" s="19" t="s">
        <v>74</v>
      </c>
      <c r="E3" s="8" t="s">
        <v>75</v>
      </c>
      <c r="F3" s="8" t="s">
        <v>76</v>
      </c>
      <c r="G3" s="18" t="s">
        <v>79</v>
      </c>
      <c r="H3" s="18" t="s">
        <v>80</v>
      </c>
      <c r="I3" s="64" t="s">
        <v>81</v>
      </c>
      <c r="J3" s="18" t="s">
        <v>15</v>
      </c>
      <c r="K3" s="18" t="s">
        <v>16</v>
      </c>
      <c r="L3" s="18" t="s">
        <v>17</v>
      </c>
    </row>
    <row r="4" spans="1:12" ht="12.75">
      <c r="A4" s="23" t="s">
        <v>0</v>
      </c>
      <c r="B4" s="32"/>
      <c r="C4" s="25">
        <v>1182500</v>
      </c>
      <c r="D4" s="25">
        <v>1182500</v>
      </c>
      <c r="E4" s="29">
        <f>D4/D45*E45</f>
        <v>1263404.2706265263</v>
      </c>
      <c r="F4" s="9">
        <v>1263000</v>
      </c>
      <c r="G4" s="49">
        <f>F4/F51*G47</f>
        <v>1362.6929676346156</v>
      </c>
      <c r="H4" s="50">
        <f>ROUND(G4*G50,1)</f>
        <v>1328.6</v>
      </c>
      <c r="I4" s="70"/>
      <c r="J4" s="49">
        <f>H4/H51*J47</f>
        <v>1435.9778245386854</v>
      </c>
      <c r="K4" s="50">
        <f>ROUND(J4*J50,1)</f>
        <v>1364.2</v>
      </c>
      <c r="L4" s="22"/>
    </row>
    <row r="5" spans="1:12" ht="12.75">
      <c r="A5" s="23" t="s">
        <v>1</v>
      </c>
      <c r="B5" s="32"/>
      <c r="C5" s="9">
        <v>7514705.3</v>
      </c>
      <c r="D5" s="9">
        <v>7514705.3</v>
      </c>
      <c r="E5" s="29">
        <f>D5/D45*E45</f>
        <v>8028846.315872974</v>
      </c>
      <c r="F5" s="9">
        <v>8029000</v>
      </c>
      <c r="G5" s="51">
        <f>F5/F51*G47</f>
        <v>8662.756799001052</v>
      </c>
      <c r="H5" s="52">
        <f>ROUND(G5*G50,1)</f>
        <v>8446.2</v>
      </c>
      <c r="I5" s="69"/>
      <c r="J5" s="51">
        <f>H5/H51*J47</f>
        <v>9128.824252309683</v>
      </c>
      <c r="K5" s="52">
        <f>ROUND(J5*J50,1)</f>
        <v>8672.3</v>
      </c>
      <c r="L5" s="21"/>
    </row>
    <row r="6" spans="1:12" ht="12.75">
      <c r="A6" s="23" t="s">
        <v>20</v>
      </c>
      <c r="B6" s="88" t="s">
        <v>102</v>
      </c>
      <c r="C6" s="9">
        <v>14000</v>
      </c>
      <c r="D6" s="9">
        <v>14000</v>
      </c>
      <c r="E6" s="29">
        <f>D6/D45*E45</f>
        <v>14957.851829827798</v>
      </c>
      <c r="F6" s="9">
        <v>15000</v>
      </c>
      <c r="G6" s="51">
        <f>F6/F51*G47</f>
        <v>16.184001990909923</v>
      </c>
      <c r="H6" s="52">
        <f>ROUND(G6*G50,1)</f>
        <v>15.8</v>
      </c>
      <c r="I6" s="69"/>
      <c r="J6" s="51">
        <f>H6/H51*J47</f>
        <v>17.076960430311026</v>
      </c>
      <c r="K6" s="52">
        <f>ROUND(J6*J50,1)</f>
        <v>16.2</v>
      </c>
      <c r="L6" s="21"/>
    </row>
    <row r="7" spans="1:12" ht="12.75">
      <c r="A7" s="23" t="s">
        <v>69</v>
      </c>
      <c r="B7" s="32" t="s">
        <v>68</v>
      </c>
      <c r="C7" s="9">
        <v>120194.7</v>
      </c>
      <c r="D7" s="9">
        <v>120194.7</v>
      </c>
      <c r="E7" s="29">
        <f>D7/D45*E45</f>
        <v>128418.17952361448</v>
      </c>
      <c r="F7" s="9">
        <v>110000</v>
      </c>
      <c r="G7" s="51">
        <f>F7/F51*G47</f>
        <v>118.68268126667279</v>
      </c>
      <c r="H7" s="52">
        <f>ROUND(G7*G50,1)</f>
        <v>115.7</v>
      </c>
      <c r="I7" s="69"/>
      <c r="J7" s="51">
        <f>H7/H51*J47</f>
        <v>125.05090644221428</v>
      </c>
      <c r="K7" s="52">
        <f>ROUND(J7*J50,1)</f>
        <v>118.8</v>
      </c>
      <c r="L7" s="21"/>
    </row>
    <row r="8" spans="1:12" ht="12.75">
      <c r="A8" s="23" t="s">
        <v>21</v>
      </c>
      <c r="B8" s="32" t="s">
        <v>66</v>
      </c>
      <c r="C8" s="9">
        <v>485300</v>
      </c>
      <c r="D8" s="9">
        <v>485300</v>
      </c>
      <c r="E8" s="29">
        <f>D8/D45*E45</f>
        <v>518503.2495011021</v>
      </c>
      <c r="F8" s="9">
        <v>500000</v>
      </c>
      <c r="G8" s="51">
        <f>F8/F51*G47</f>
        <v>539.4667330303308</v>
      </c>
      <c r="H8" s="52">
        <f>ROUND(G8*G50,1)</f>
        <v>526</v>
      </c>
      <c r="I8" s="69"/>
      <c r="J8" s="51">
        <f>H8/H51*J47</f>
        <v>568.5114674901013</v>
      </c>
      <c r="K8" s="52">
        <f>ROUND(J8*J50,1)</f>
        <v>540.1</v>
      </c>
      <c r="L8" s="21"/>
    </row>
    <row r="9" spans="1:12" ht="12.75">
      <c r="A9" s="24" t="s">
        <v>23</v>
      </c>
      <c r="B9" s="32" t="s">
        <v>10</v>
      </c>
      <c r="C9" s="9">
        <v>399000</v>
      </c>
      <c r="D9" s="9"/>
      <c r="E9" s="29"/>
      <c r="F9" s="9"/>
      <c r="G9" s="51"/>
      <c r="H9" s="52"/>
      <c r="I9" s="69"/>
      <c r="J9" s="51" t="s">
        <v>12</v>
      </c>
      <c r="K9" s="52"/>
      <c r="L9" s="21"/>
    </row>
    <row r="10" spans="1:12" ht="12.75">
      <c r="A10" s="24" t="s">
        <v>24</v>
      </c>
      <c r="B10" s="32" t="s">
        <v>22</v>
      </c>
      <c r="C10" s="9">
        <v>3000</v>
      </c>
      <c r="D10" s="39">
        <v>3000</v>
      </c>
      <c r="E10" s="29">
        <f>D10/D45*E45</f>
        <v>3205.2539635345274</v>
      </c>
      <c r="F10" s="9">
        <v>3000</v>
      </c>
      <c r="G10" s="51">
        <f>F10/F51*G47</f>
        <v>3.2368003981819853</v>
      </c>
      <c r="H10" s="52">
        <f>ROUND(G10*G50,1)</f>
        <v>3.2</v>
      </c>
      <c r="I10" s="69"/>
      <c r="J10" s="51">
        <f>H10/H51*J47</f>
        <v>3.458624897278183</v>
      </c>
      <c r="K10" s="52">
        <f>ROUND(J10*J50,1)</f>
        <v>3.3</v>
      </c>
      <c r="L10" s="21"/>
    </row>
    <row r="11" spans="1:12" ht="12.75">
      <c r="A11" s="24" t="s">
        <v>25</v>
      </c>
      <c r="B11" s="32" t="s">
        <v>9</v>
      </c>
      <c r="C11" s="9">
        <v>20000</v>
      </c>
      <c r="D11" s="9"/>
      <c r="E11" s="29"/>
      <c r="F11" s="9"/>
      <c r="G11" s="51"/>
      <c r="H11" s="52"/>
      <c r="I11" s="69"/>
      <c r="J11" s="51"/>
      <c r="K11" s="52"/>
      <c r="L11" s="21"/>
    </row>
    <row r="12" spans="1:12" ht="12.75">
      <c r="A12" s="23" t="s">
        <v>26</v>
      </c>
      <c r="B12" s="32" t="s">
        <v>27</v>
      </c>
      <c r="C12" s="9">
        <v>603114</v>
      </c>
      <c r="D12" s="9">
        <v>603114</v>
      </c>
      <c r="E12" s="29">
        <f>D12/D45*E45</f>
        <v>644377.8463210544</v>
      </c>
      <c r="F12" s="9">
        <v>640000</v>
      </c>
      <c r="G12" s="51">
        <f>F12/F51*G47</f>
        <v>690.5174182788235</v>
      </c>
      <c r="H12" s="52">
        <f>ROUND(G12*G50,1)</f>
        <v>673.3</v>
      </c>
      <c r="I12" s="69"/>
      <c r="J12" s="51">
        <f>H12/H51*J47</f>
        <v>727.7162947929376</v>
      </c>
      <c r="K12" s="52">
        <f>ROUND(J12*J50,1)</f>
        <v>691.3</v>
      </c>
      <c r="L12" s="21"/>
    </row>
    <row r="13" spans="1:12" ht="12.75">
      <c r="A13" s="23" t="s">
        <v>28</v>
      </c>
      <c r="B13" s="33" t="s">
        <v>29</v>
      </c>
      <c r="C13" s="9">
        <v>4000</v>
      </c>
      <c r="D13" s="39">
        <v>1000</v>
      </c>
      <c r="E13" s="29">
        <f>D13/D45*E45</f>
        <v>1068.4179878448426</v>
      </c>
      <c r="F13" s="9">
        <v>1000</v>
      </c>
      <c r="G13" s="51">
        <f>F13/F51*G47</f>
        <v>1.0789334660606615</v>
      </c>
      <c r="H13" s="52">
        <f>ROUND(G13*G50,1)</f>
        <v>1.1</v>
      </c>
      <c r="I13" s="69"/>
      <c r="J13" s="51">
        <f>H13/H51*J47</f>
        <v>1.1889023084393755</v>
      </c>
      <c r="K13" s="52">
        <f>ROUND(J13*J50,1)</f>
        <v>1.1</v>
      </c>
      <c r="L13" s="21"/>
    </row>
    <row r="14" spans="1:12" ht="12.75">
      <c r="A14" s="23" t="s">
        <v>30</v>
      </c>
      <c r="B14" s="32" t="s">
        <v>31</v>
      </c>
      <c r="C14" s="9">
        <v>190454.01</v>
      </c>
      <c r="D14" s="9"/>
      <c r="E14" s="29"/>
      <c r="F14" s="9"/>
      <c r="G14" s="51"/>
      <c r="H14" s="52"/>
      <c r="I14" s="69" t="s">
        <v>12</v>
      </c>
      <c r="J14" s="51"/>
      <c r="K14" s="52"/>
      <c r="L14" s="21"/>
    </row>
    <row r="15" spans="1:12" ht="12.75">
      <c r="A15" s="23" t="s">
        <v>32</v>
      </c>
      <c r="B15" s="32" t="s">
        <v>33</v>
      </c>
      <c r="C15" s="9">
        <v>641165</v>
      </c>
      <c r="D15" s="9">
        <v>641165</v>
      </c>
      <c r="E15" s="29">
        <f>D15/D45*E45</f>
        <v>685032.2191765385</v>
      </c>
      <c r="F15" s="9">
        <v>685000</v>
      </c>
      <c r="G15" s="51">
        <f>F15/F51*G47</f>
        <v>739.0694242515532</v>
      </c>
      <c r="H15" s="52">
        <f>ROUND(G15*G50,1)</f>
        <v>720.6</v>
      </c>
      <c r="I15" s="69"/>
      <c r="J15" s="51">
        <f>H15/H51*J47</f>
        <v>778.8390940558307</v>
      </c>
      <c r="K15" s="52">
        <f>ROUND(J15*J50,1)</f>
        <v>739.9</v>
      </c>
      <c r="L15" s="21"/>
    </row>
    <row r="16" spans="1:12" ht="12.75">
      <c r="A16" s="23"/>
      <c r="B16" s="32" t="s">
        <v>13</v>
      </c>
      <c r="C16" s="9"/>
      <c r="D16" s="9"/>
      <c r="E16" s="29"/>
      <c r="F16" s="9"/>
      <c r="G16" s="51"/>
      <c r="H16" s="52"/>
      <c r="I16" s="69"/>
      <c r="J16" s="51"/>
      <c r="K16" s="52"/>
      <c r="L16" s="21"/>
    </row>
    <row r="17" spans="1:12" ht="12.75">
      <c r="A17" s="23" t="s">
        <v>34</v>
      </c>
      <c r="B17" s="32" t="s">
        <v>67</v>
      </c>
      <c r="C17" s="9">
        <v>300860</v>
      </c>
      <c r="D17" s="9">
        <v>300860</v>
      </c>
      <c r="E17" s="29">
        <f>D17/D45*E45</f>
        <v>321444.2358229993</v>
      </c>
      <c r="F17" s="9">
        <v>322000</v>
      </c>
      <c r="G17" s="51">
        <f>F17/F51*G47</f>
        <v>347.41657607153303</v>
      </c>
      <c r="H17" s="52">
        <f>ROUND(G17*G50,1)</f>
        <v>338.7</v>
      </c>
      <c r="I17" s="69"/>
      <c r="J17" s="51">
        <f>H17/H51*J47</f>
        <v>366.0738289712876</v>
      </c>
      <c r="K17" s="52">
        <f>ROUND(J17*J50,1)</f>
        <v>347.8</v>
      </c>
      <c r="L17" s="21"/>
    </row>
    <row r="18" spans="1:12" ht="12.75">
      <c r="A18" s="23" t="s">
        <v>35</v>
      </c>
      <c r="B18" s="32" t="s">
        <v>36</v>
      </c>
      <c r="C18" s="9">
        <v>94800</v>
      </c>
      <c r="D18" s="9"/>
      <c r="E18" s="29"/>
      <c r="F18" s="9"/>
      <c r="G18" s="51"/>
      <c r="H18" s="52"/>
      <c r="I18" s="69"/>
      <c r="J18" s="51"/>
      <c r="K18" s="52"/>
      <c r="L18" s="21"/>
    </row>
    <row r="19" spans="1:12" ht="12.75">
      <c r="A19" s="23" t="s">
        <v>37</v>
      </c>
      <c r="B19" s="34" t="s">
        <v>38</v>
      </c>
      <c r="C19" s="9">
        <f>945200+1143600+505552</f>
        <v>2594352</v>
      </c>
      <c r="D19" s="9"/>
      <c r="E19" s="29"/>
      <c r="F19" s="9"/>
      <c r="G19" s="51"/>
      <c r="H19" s="52"/>
      <c r="I19" s="69"/>
      <c r="J19" s="51"/>
      <c r="K19" s="52"/>
      <c r="L19" s="21"/>
    </row>
    <row r="20" spans="1:12" ht="12.75">
      <c r="A20" s="23" t="s">
        <v>45</v>
      </c>
      <c r="B20" s="34" t="s">
        <v>38</v>
      </c>
      <c r="C20" s="9">
        <v>507133</v>
      </c>
      <c r="D20" s="9"/>
      <c r="E20" s="29"/>
      <c r="F20" s="9"/>
      <c r="G20" s="51"/>
      <c r="H20" s="52"/>
      <c r="I20" s="69"/>
      <c r="J20" s="51"/>
      <c r="K20" s="52"/>
      <c r="L20" s="21"/>
    </row>
    <row r="21" spans="1:12" ht="12.75">
      <c r="A21" s="23" t="s">
        <v>39</v>
      </c>
      <c r="B21" s="34" t="s">
        <v>41</v>
      </c>
      <c r="C21" s="9">
        <v>556135</v>
      </c>
      <c r="D21" s="9"/>
      <c r="E21" s="29"/>
      <c r="F21" s="9"/>
      <c r="G21" s="51"/>
      <c r="H21" s="52"/>
      <c r="I21" s="69"/>
      <c r="J21" s="51"/>
      <c r="K21" s="52"/>
      <c r="L21" s="21"/>
    </row>
    <row r="22" spans="1:12" ht="12.75">
      <c r="A22" s="23" t="s">
        <v>39</v>
      </c>
      <c r="B22" s="34" t="s">
        <v>40</v>
      </c>
      <c r="C22" s="9">
        <v>819098</v>
      </c>
      <c r="D22" s="39"/>
      <c r="E22" s="29"/>
      <c r="F22" s="9"/>
      <c r="G22" s="51"/>
      <c r="H22" s="52"/>
      <c r="I22" s="69"/>
      <c r="J22" s="51"/>
      <c r="K22" s="52"/>
      <c r="L22" s="21"/>
    </row>
    <row r="23" spans="1:12" ht="12.75">
      <c r="A23" s="23" t="s">
        <v>44</v>
      </c>
      <c r="B23" s="34" t="s">
        <v>40</v>
      </c>
      <c r="C23" s="9">
        <v>120190</v>
      </c>
      <c r="D23" s="39">
        <v>50000</v>
      </c>
      <c r="E23" s="29">
        <f>D23/D45*E45</f>
        <v>53420.89939224212</v>
      </c>
      <c r="F23" s="9">
        <v>50000</v>
      </c>
      <c r="G23" s="51">
        <f>F23/F51*G47</f>
        <v>53.94667330303308</v>
      </c>
      <c r="H23" s="52">
        <f>ROUND(G23*G50,1)</f>
        <v>52.6</v>
      </c>
      <c r="I23" s="69"/>
      <c r="J23" s="51">
        <f>H23/H51*J47</f>
        <v>56.85114674901013</v>
      </c>
      <c r="K23" s="52">
        <f>ROUND(J23*J50,1)</f>
        <v>54</v>
      </c>
      <c r="L23" s="21"/>
    </row>
    <row r="24" spans="1:12" ht="12.75">
      <c r="A24" s="23" t="s">
        <v>46</v>
      </c>
      <c r="B24" s="34" t="s">
        <v>40</v>
      </c>
      <c r="C24" s="9">
        <v>60712</v>
      </c>
      <c r="D24" s="39">
        <v>20000</v>
      </c>
      <c r="E24" s="29">
        <f>D24/D45*E45</f>
        <v>21368.35975689685</v>
      </c>
      <c r="F24" s="9">
        <v>20000</v>
      </c>
      <c r="G24" s="51">
        <f>F24/F51*G47</f>
        <v>21.578669321213233</v>
      </c>
      <c r="H24" s="52">
        <f>ROUND(G24*G50,1)</f>
        <v>21</v>
      </c>
      <c r="I24" s="69"/>
      <c r="J24" s="51">
        <f>H24/H51*J47</f>
        <v>22.697225888388072</v>
      </c>
      <c r="K24" s="52">
        <f>ROUND(J24*J50,1)</f>
        <v>21.6</v>
      </c>
      <c r="L24" s="21"/>
    </row>
    <row r="25" spans="1:12" ht="12.75">
      <c r="A25" s="23" t="s">
        <v>42</v>
      </c>
      <c r="B25" s="32" t="s">
        <v>43</v>
      </c>
      <c r="C25" s="9">
        <v>297300</v>
      </c>
      <c r="D25" s="9">
        <v>297300</v>
      </c>
      <c r="E25" s="29">
        <f>D25/D45*E45</f>
        <v>317640.6677862717</v>
      </c>
      <c r="F25" s="9">
        <f>318000-9900</f>
        <v>308100</v>
      </c>
      <c r="G25" s="51">
        <f>F25/F51*G47</f>
        <v>332.41940089328983</v>
      </c>
      <c r="H25" s="52">
        <f>ROUND(G25*G50,1)</f>
        <v>324.1</v>
      </c>
      <c r="I25" s="69"/>
      <c r="J25" s="51">
        <f>H25/H51*J47</f>
        <v>350.29385287745595</v>
      </c>
      <c r="K25" s="52">
        <f>ROUND(J25*J50,1)</f>
        <v>332.8</v>
      </c>
      <c r="L25" s="21"/>
    </row>
    <row r="26" spans="1:12" ht="12.75">
      <c r="A26" s="23" t="s">
        <v>77</v>
      </c>
      <c r="B26" s="32" t="s">
        <v>78</v>
      </c>
      <c r="C26" s="9"/>
      <c r="D26" s="9"/>
      <c r="E26" s="29"/>
      <c r="F26" s="9">
        <v>10000</v>
      </c>
      <c r="G26" s="51">
        <f>F26/F51*G47</f>
        <v>10.789334660606617</v>
      </c>
      <c r="H26" s="52">
        <f>ROUND(G26*G50,1)</f>
        <v>10.5</v>
      </c>
      <c r="I26" s="69"/>
      <c r="J26" s="51">
        <f>H26/H51*J47</f>
        <v>11.348612944194036</v>
      </c>
      <c r="K26" s="52">
        <f>ROUND(J26*J50,1)</f>
        <v>10.8</v>
      </c>
      <c r="L26" s="21"/>
    </row>
    <row r="27" spans="1:12" ht="12.75">
      <c r="A27" s="23" t="s">
        <v>47</v>
      </c>
      <c r="B27" s="32" t="s">
        <v>70</v>
      </c>
      <c r="C27" s="9">
        <v>1263796</v>
      </c>
      <c r="D27" s="9">
        <v>1263796</v>
      </c>
      <c r="E27" s="29">
        <f>D27/D45*E45</f>
        <v>1350262.3793663606</v>
      </c>
      <c r="F27" s="9">
        <f>1350000-30000</f>
        <v>1320000</v>
      </c>
      <c r="G27" s="51">
        <f>F27/F51*G47</f>
        <v>1424.1921752000733</v>
      </c>
      <c r="H27" s="52">
        <f>ROUND(G27*G50,1)</f>
        <v>1388.6</v>
      </c>
      <c r="I27" s="69"/>
      <c r="J27" s="51">
        <f>H27/H51*J47</f>
        <v>1500.8270413626512</v>
      </c>
      <c r="K27" s="52">
        <f>ROUND(J27*J50,1)</f>
        <v>1425.8</v>
      </c>
      <c r="L27" s="21"/>
    </row>
    <row r="28" spans="1:12" ht="12.75">
      <c r="A28" s="23" t="s">
        <v>48</v>
      </c>
      <c r="B28" s="32" t="s">
        <v>2</v>
      </c>
      <c r="C28" s="9">
        <v>0</v>
      </c>
      <c r="D28" s="9">
        <v>1000</v>
      </c>
      <c r="E28" s="29">
        <f>D28/D45*E45</f>
        <v>1068.4179878448426</v>
      </c>
      <c r="F28" s="9">
        <v>1000</v>
      </c>
      <c r="G28" s="51">
        <f>F28/F51*G47</f>
        <v>1.0789334660606615</v>
      </c>
      <c r="H28" s="52">
        <f>ROUND(G28*G50,1)</f>
        <v>1.1</v>
      </c>
      <c r="I28" s="69"/>
      <c r="J28" s="51">
        <f>H28/H51*J47</f>
        <v>1.1889023084393755</v>
      </c>
      <c r="K28" s="52">
        <f>ROUND(J28*J50,1)</f>
        <v>1.1</v>
      </c>
      <c r="L28" s="21"/>
    </row>
    <row r="29" spans="1:12" ht="12.75">
      <c r="A29" s="23" t="s">
        <v>49</v>
      </c>
      <c r="B29" s="32" t="s">
        <v>3</v>
      </c>
      <c r="C29" s="9">
        <v>104700</v>
      </c>
      <c r="D29" s="9">
        <v>90000</v>
      </c>
      <c r="E29" s="29">
        <f>D29/D45*E45</f>
        <v>96157.61890603583</v>
      </c>
      <c r="F29" s="9">
        <v>90000</v>
      </c>
      <c r="G29" s="51">
        <f>F29/F51*G47</f>
        <v>97.10401194545955</v>
      </c>
      <c r="H29" s="52">
        <f>ROUND(G29*G50,1)</f>
        <v>94.7</v>
      </c>
      <c r="I29" s="69"/>
      <c r="J29" s="51">
        <f>H29/H51*J47</f>
        <v>102.35368055382621</v>
      </c>
      <c r="K29" s="52">
        <f>ROUND(J29*J50,1)</f>
        <v>97.2</v>
      </c>
      <c r="L29" s="21"/>
    </row>
    <row r="30" spans="1:12" ht="12.75">
      <c r="A30" s="23" t="s">
        <v>50</v>
      </c>
      <c r="B30" s="32" t="s">
        <v>4</v>
      </c>
      <c r="C30" s="9">
        <v>711184</v>
      </c>
      <c r="D30" s="9">
        <v>500000</v>
      </c>
      <c r="E30" s="29">
        <f>D30/D45*E45</f>
        <v>534208.9939224212</v>
      </c>
      <c r="F30" s="9">
        <v>535000</v>
      </c>
      <c r="G30" s="51">
        <f>F30/F51*G47</f>
        <v>577.229404342454</v>
      </c>
      <c r="H30" s="52">
        <f>ROUND(G30*G50,1)</f>
        <v>562.8</v>
      </c>
      <c r="I30" s="69"/>
      <c r="J30" s="51">
        <f>H30/H51*J47</f>
        <v>608.2856538088004</v>
      </c>
      <c r="K30" s="52">
        <f>ROUND(J30*J50,1)</f>
        <v>577.9</v>
      </c>
      <c r="L30" s="21"/>
    </row>
    <row r="31" spans="1:12" ht="12.75">
      <c r="A31" s="23" t="s">
        <v>51</v>
      </c>
      <c r="B31" s="32" t="s">
        <v>52</v>
      </c>
      <c r="C31" s="9">
        <v>20000</v>
      </c>
      <c r="D31" s="9"/>
      <c r="E31" s="29"/>
      <c r="F31" s="9"/>
      <c r="G31" s="51"/>
      <c r="H31" s="52"/>
      <c r="I31" s="69"/>
      <c r="J31" s="51"/>
      <c r="K31" s="52"/>
      <c r="L31" s="21"/>
    </row>
    <row r="32" spans="1:12" ht="12.75">
      <c r="A32" s="23" t="s">
        <v>64</v>
      </c>
      <c r="B32" s="32" t="s">
        <v>5</v>
      </c>
      <c r="C32" s="9">
        <v>5783200</v>
      </c>
      <c r="D32" s="9">
        <v>5783200</v>
      </c>
      <c r="E32" s="29">
        <f>D32/D45*E45</f>
        <v>6178874.9073042935</v>
      </c>
      <c r="F32" s="9">
        <v>6179000</v>
      </c>
      <c r="G32" s="51">
        <f>F32/F51*G47</f>
        <v>6666.729886788828</v>
      </c>
      <c r="H32" s="52">
        <f>ROUND(G32*G50,1)</f>
        <v>6500.1</v>
      </c>
      <c r="I32" s="69"/>
      <c r="J32" s="51">
        <f>H32/H51*J47</f>
        <v>7025.439904624348</v>
      </c>
      <c r="K32" s="52">
        <f>ROUND(J32*J50,1)</f>
        <v>6674.1</v>
      </c>
      <c r="L32" s="21"/>
    </row>
    <row r="33" spans="1:12" ht="12.75">
      <c r="A33" s="23" t="s">
        <v>65</v>
      </c>
      <c r="B33" s="32" t="s">
        <v>5</v>
      </c>
      <c r="C33" s="9">
        <v>326000</v>
      </c>
      <c r="D33" s="9"/>
      <c r="E33" s="29"/>
      <c r="F33" s="9">
        <v>10000</v>
      </c>
      <c r="G33" s="51">
        <f>F33/F51*G47</f>
        <v>10.789334660606617</v>
      </c>
      <c r="H33" s="52">
        <f>ROUND(G33*G50,1)</f>
        <v>10.5</v>
      </c>
      <c r="I33" s="69"/>
      <c r="J33" s="51">
        <f>H33/H51*J47</f>
        <v>11.348612944194036</v>
      </c>
      <c r="K33" s="52">
        <f>ROUND(J33*J50,1)</f>
        <v>10.8</v>
      </c>
      <c r="L33" s="21"/>
    </row>
    <row r="34" spans="1:12" ht="12.75">
      <c r="A34" s="23" t="s">
        <v>6</v>
      </c>
      <c r="B34" s="32" t="s">
        <v>6</v>
      </c>
      <c r="C34" s="9">
        <v>112200</v>
      </c>
      <c r="D34" s="9">
        <v>112200</v>
      </c>
      <c r="E34" s="29">
        <f>D34/D45*E45</f>
        <v>119876.49823619134</v>
      </c>
      <c r="F34" s="9">
        <v>120000</v>
      </c>
      <c r="G34" s="51">
        <f>F34/F51*G47</f>
        <v>129.4720159272794</v>
      </c>
      <c r="H34" s="52">
        <f>ROUND(G34*G50,1)</f>
        <v>126.2</v>
      </c>
      <c r="I34" s="69"/>
      <c r="J34" s="51">
        <f>H34/H51*J47</f>
        <v>136.39951938640831</v>
      </c>
      <c r="K34" s="52">
        <f>ROUND(J34*J50,1)</f>
        <v>129.6</v>
      </c>
      <c r="L34" s="21"/>
    </row>
    <row r="35" spans="1:12" ht="12.75">
      <c r="A35" s="23" t="s">
        <v>62</v>
      </c>
      <c r="B35" s="32" t="s">
        <v>7</v>
      </c>
      <c r="C35" s="9">
        <v>2435200</v>
      </c>
      <c r="D35" s="9">
        <v>2435200</v>
      </c>
      <c r="E35" s="29">
        <f>D35/D45*E45</f>
        <v>2601811.483999761</v>
      </c>
      <c r="F35" s="9">
        <v>2602000</v>
      </c>
      <c r="G35" s="51">
        <f>F35/F51*G47</f>
        <v>2807.3848786898416</v>
      </c>
      <c r="H35" s="52">
        <f>ROUND(G35*G50,1)</f>
        <v>2737.2</v>
      </c>
      <c r="I35" s="69"/>
      <c r="J35" s="51">
        <f>H35/H51*J47</f>
        <v>2958.4212715093254</v>
      </c>
      <c r="K35" s="52">
        <f>ROUND(J35*J50,1)</f>
        <v>2810.5</v>
      </c>
      <c r="L35" s="21"/>
    </row>
    <row r="36" spans="1:12" ht="12.75">
      <c r="A36" s="23" t="s">
        <v>63</v>
      </c>
      <c r="B36" s="32" t="s">
        <v>7</v>
      </c>
      <c r="C36" s="9">
        <v>399000</v>
      </c>
      <c r="D36" s="9"/>
      <c r="E36" s="29"/>
      <c r="F36" s="9">
        <v>10000</v>
      </c>
      <c r="G36" s="51">
        <f>F36/F51*G47</f>
        <v>10.789334660606617</v>
      </c>
      <c r="H36" s="52">
        <f>ROUND(G36*G50,1)</f>
        <v>10.5</v>
      </c>
      <c r="I36" s="69"/>
      <c r="J36" s="51">
        <f>H36/H51*J47</f>
        <v>11.348612944194036</v>
      </c>
      <c r="K36" s="52">
        <f>ROUND(J36*J50,1)</f>
        <v>10.8</v>
      </c>
      <c r="L36" s="21"/>
    </row>
    <row r="37" spans="1:12" ht="12.75">
      <c r="A37" s="23" t="s">
        <v>53</v>
      </c>
      <c r="B37" s="32" t="s">
        <v>54</v>
      </c>
      <c r="C37" s="9">
        <v>20000</v>
      </c>
      <c r="D37" s="9">
        <v>20000</v>
      </c>
      <c r="E37" s="29">
        <f>D37/D45*E45</f>
        <v>21368.35975689685</v>
      </c>
      <c r="F37" s="9">
        <v>21000</v>
      </c>
      <c r="G37" s="51">
        <f>F37/F51*G47</f>
        <v>22.657602787273895</v>
      </c>
      <c r="H37" s="52">
        <f>ROUND(G37*G50,1)</f>
        <v>22.1</v>
      </c>
      <c r="I37" s="69"/>
      <c r="J37" s="51">
        <f>H37/H51*J47</f>
        <v>23.88612819682745</v>
      </c>
      <c r="K37" s="52">
        <f>ROUND(J37*J50,1)</f>
        <v>22.7</v>
      </c>
      <c r="L37" s="21"/>
    </row>
    <row r="38" spans="1:12" ht="12.75">
      <c r="A38" s="23" t="s">
        <v>61</v>
      </c>
      <c r="B38" s="32" t="s">
        <v>71</v>
      </c>
      <c r="C38" s="9"/>
      <c r="D38" s="9"/>
      <c r="E38" s="29"/>
      <c r="F38" s="9">
        <v>60000</v>
      </c>
      <c r="G38" s="51">
        <f>F38/F51*G47</f>
        <v>64.7360079636397</v>
      </c>
      <c r="H38" s="52">
        <f>ROUND(G38*G50,1)-0.1</f>
        <v>63</v>
      </c>
      <c r="I38" s="69"/>
      <c r="J38" s="51">
        <f>H38/H51*J47</f>
        <v>68.09167766516423</v>
      </c>
      <c r="K38" s="52">
        <f>ROUND(J38*J50,1)</f>
        <v>64.7</v>
      </c>
      <c r="L38" s="21"/>
    </row>
    <row r="39" spans="1:12" ht="12.75">
      <c r="A39" s="23" t="s">
        <v>55</v>
      </c>
      <c r="B39" s="32" t="s">
        <v>56</v>
      </c>
      <c r="C39" s="9">
        <v>22000</v>
      </c>
      <c r="D39" s="9"/>
      <c r="E39" s="29"/>
      <c r="F39" s="9"/>
      <c r="G39" s="51"/>
      <c r="H39" s="52"/>
      <c r="I39" s="69"/>
      <c r="J39" s="51"/>
      <c r="K39" s="52"/>
      <c r="L39" s="21"/>
    </row>
    <row r="40" spans="1:12" ht="12.75">
      <c r="A40" s="23" t="s">
        <v>55</v>
      </c>
      <c r="B40" s="32" t="s">
        <v>57</v>
      </c>
      <c r="C40" s="9">
        <v>50754</v>
      </c>
      <c r="D40" s="9"/>
      <c r="E40" s="29"/>
      <c r="F40" s="9"/>
      <c r="G40" s="51"/>
      <c r="H40" s="52"/>
      <c r="I40" s="69"/>
      <c r="J40" s="51"/>
      <c r="K40" s="52"/>
      <c r="L40" s="21"/>
    </row>
    <row r="41" spans="1:12" ht="12.75">
      <c r="A41" s="23" t="s">
        <v>11</v>
      </c>
      <c r="B41" s="32" t="s">
        <v>58</v>
      </c>
      <c r="C41" s="9">
        <v>36300</v>
      </c>
      <c r="D41" s="9">
        <v>36300</v>
      </c>
      <c r="E41" s="29">
        <f>D41/D45*E45</f>
        <v>38783.572958767785</v>
      </c>
      <c r="F41" s="9">
        <v>40000</v>
      </c>
      <c r="G41" s="51">
        <f>ROUND(SUM(G4:G40)*0.025,1)</f>
        <v>617.8</v>
      </c>
      <c r="H41" s="52">
        <f>G41</f>
        <v>617.8</v>
      </c>
      <c r="I41" s="61">
        <f>ROUND(SUM(I4:I40)*0.025,1)</f>
        <v>0</v>
      </c>
      <c r="J41" s="51">
        <f>ROUND(SUM(J4:J40)*0.05,1)</f>
        <v>1302.1</v>
      </c>
      <c r="K41" s="52">
        <f>J41</f>
        <v>1302.1</v>
      </c>
      <c r="L41" s="46">
        <f>ROUND(SUM(L4:L40)*0.025,1)</f>
        <v>0</v>
      </c>
    </row>
    <row r="42" spans="1:12" ht="12.75">
      <c r="A42" s="23"/>
      <c r="B42" s="88" t="s">
        <v>101</v>
      </c>
      <c r="C42" s="9"/>
      <c r="D42" s="9"/>
      <c r="E42" s="29"/>
      <c r="F42" s="9"/>
      <c r="G42" s="51"/>
      <c r="H42" s="52"/>
      <c r="I42" s="61"/>
      <c r="J42" s="51"/>
      <c r="K42" s="52"/>
      <c r="L42" s="46"/>
    </row>
    <row r="43" spans="1:23" ht="12.75">
      <c r="A43" s="23" t="s">
        <v>59</v>
      </c>
      <c r="B43" s="32" t="s">
        <v>60</v>
      </c>
      <c r="C43" s="9">
        <v>592846</v>
      </c>
      <c r="D43" s="39"/>
      <c r="E43" s="29"/>
      <c r="F43" s="9"/>
      <c r="G43" s="53"/>
      <c r="H43" s="54"/>
      <c r="I43" s="55"/>
      <c r="J43" s="53"/>
      <c r="K43" s="54"/>
      <c r="L43" s="47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2.75">
      <c r="A44" s="13" t="s">
        <v>12</v>
      </c>
      <c r="B44" s="35"/>
      <c r="C44" s="9"/>
      <c r="D44" s="9"/>
      <c r="E44" s="29"/>
      <c r="F44" s="9"/>
      <c r="G44" s="60"/>
      <c r="H44" s="55"/>
      <c r="I44" s="54"/>
      <c r="J44" s="60"/>
      <c r="K44" s="55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s="4" customFormat="1" ht="12.75">
      <c r="A45" s="16"/>
      <c r="B45" s="36"/>
      <c r="C45" s="10">
        <f>SUM(C4:C44)</f>
        <v>28405193.009999998</v>
      </c>
      <c r="D45" s="10">
        <f>SUM(D4:D44)</f>
        <v>21474835</v>
      </c>
      <c r="E45" s="30">
        <v>22944100</v>
      </c>
      <c r="F45" s="10">
        <f aca="true" t="shared" si="0" ref="F45:L45">SUM(F4:F44)</f>
        <v>22944100</v>
      </c>
      <c r="G45" s="65">
        <f t="shared" si="0"/>
        <v>25329.799999999996</v>
      </c>
      <c r="H45" s="56">
        <f t="shared" si="0"/>
        <v>24712.000000000004</v>
      </c>
      <c r="I45" s="56">
        <f t="shared" si="0"/>
        <v>0</v>
      </c>
      <c r="J45" s="65">
        <f t="shared" si="0"/>
        <v>27343.59999999999</v>
      </c>
      <c r="K45" s="56">
        <f t="shared" si="0"/>
        <v>26041.499999999993</v>
      </c>
      <c r="L45" s="73">
        <f t="shared" si="0"/>
        <v>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2.75">
      <c r="A46" s="13" t="s">
        <v>12</v>
      </c>
      <c r="B46" s="35"/>
      <c r="C46" s="9"/>
      <c r="D46" s="9"/>
      <c r="E46" s="29"/>
      <c r="F46" s="9"/>
      <c r="G46" s="57"/>
      <c r="H46" s="58"/>
      <c r="I46" s="58"/>
      <c r="J46" s="57"/>
      <c r="K46" s="58"/>
      <c r="L46" s="43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2.75">
      <c r="A47" s="13"/>
      <c r="B47" s="35"/>
      <c r="C47" s="9"/>
      <c r="D47" s="9"/>
      <c r="E47" s="38">
        <f>SUM(E4:E43)</f>
        <v>22944099.999999996</v>
      </c>
      <c r="F47" s="63">
        <f>E45</f>
        <v>22944100</v>
      </c>
      <c r="G47" s="67">
        <v>24712</v>
      </c>
      <c r="H47" s="68" t="s">
        <v>82</v>
      </c>
      <c r="I47" s="59">
        <v>24712000</v>
      </c>
      <c r="J47" s="67">
        <v>26041.5</v>
      </c>
      <c r="K47" s="68" t="s">
        <v>82</v>
      </c>
      <c r="L47" s="44">
        <v>26041500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2.75">
      <c r="A48" s="13"/>
      <c r="B48" s="35"/>
      <c r="C48" s="9"/>
      <c r="D48" s="9"/>
      <c r="E48" s="29">
        <f>E45-E47</f>
        <v>0</v>
      </c>
      <c r="F48" s="9">
        <f>F45-F47</f>
        <v>0</v>
      </c>
      <c r="G48" s="9">
        <f>G45-G47</f>
        <v>617.7999999999956</v>
      </c>
      <c r="H48" s="58">
        <f>H45-G47</f>
        <v>0</v>
      </c>
      <c r="I48" s="58"/>
      <c r="J48" s="9">
        <f>J45-J47</f>
        <v>1302.0999999999913</v>
      </c>
      <c r="K48" s="58">
        <f>K45-J47</f>
        <v>0</v>
      </c>
      <c r="L48" s="43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>
      <c r="A49" s="13"/>
      <c r="B49" s="35"/>
      <c r="C49" s="9"/>
      <c r="D49" s="9"/>
      <c r="E49" s="29"/>
      <c r="F49" s="9"/>
      <c r="G49" s="60"/>
      <c r="H49" s="54"/>
      <c r="I49" s="71"/>
      <c r="J49" s="60"/>
      <c r="K49" s="54"/>
      <c r="L49" s="45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12" ht="12.75">
      <c r="A50" s="13"/>
      <c r="B50" s="35"/>
      <c r="C50" s="11"/>
      <c r="D50" s="11"/>
      <c r="E50" s="29">
        <f>E45/D45</f>
        <v>1.0684179878448425</v>
      </c>
      <c r="F50" s="9"/>
      <c r="G50" s="121">
        <v>0.975</v>
      </c>
      <c r="H50" s="122"/>
      <c r="I50" s="72"/>
      <c r="J50" s="121">
        <v>0.94999</v>
      </c>
      <c r="K50" s="123"/>
      <c r="L50" s="14"/>
    </row>
    <row r="51" spans="1:12" ht="12.75">
      <c r="A51" s="15"/>
      <c r="B51" s="37"/>
      <c r="C51" s="12"/>
      <c r="D51" s="12"/>
      <c r="E51" s="48" t="s">
        <v>83</v>
      </c>
      <c r="F51" s="48">
        <f>SUM(F4:F40)</f>
        <v>22904100</v>
      </c>
      <c r="G51" s="48" t="s">
        <v>83</v>
      </c>
      <c r="H51" s="74">
        <f>H45-H41</f>
        <v>24094.200000000004</v>
      </c>
      <c r="I51" s="62"/>
      <c r="J51" s="66"/>
      <c r="K51" s="62"/>
      <c r="L51" s="17"/>
    </row>
    <row r="52" spans="1:6" ht="12.75">
      <c r="A52" s="2"/>
      <c r="B52" s="27"/>
      <c r="C52" s="26"/>
      <c r="D52" s="26"/>
      <c r="E52" s="3"/>
      <c r="F52" s="3"/>
    </row>
    <row r="53" spans="1:6" s="4" customFormat="1" ht="25.5">
      <c r="A53" s="81"/>
      <c r="B53" s="81"/>
      <c r="C53" s="75" t="s">
        <v>96</v>
      </c>
      <c r="D53" s="75" t="s">
        <v>99</v>
      </c>
      <c r="E53" s="94" t="s">
        <v>107</v>
      </c>
      <c r="F53" s="75"/>
    </row>
    <row r="54" spans="1:23" ht="12.75">
      <c r="A54" s="78" t="s">
        <v>0</v>
      </c>
      <c r="B54" s="78" t="s">
        <v>86</v>
      </c>
      <c r="C54" s="79">
        <v>971</v>
      </c>
      <c r="D54" s="79">
        <f>53059.6*19/1000</f>
        <v>1008.1324000000001</v>
      </c>
      <c r="E54" s="79">
        <v>1008200</v>
      </c>
      <c r="F54" s="79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3" ht="12.75">
      <c r="A55" s="78" t="s">
        <v>0</v>
      </c>
      <c r="B55" s="78" t="s">
        <v>87</v>
      </c>
      <c r="C55" s="79">
        <v>211.5</v>
      </c>
      <c r="D55" s="79">
        <f>D54*0.22</f>
        <v>221.789128</v>
      </c>
      <c r="E55" s="79">
        <v>221800</v>
      </c>
      <c r="F55" s="79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1:6" s="4" customFormat="1" ht="12.75">
      <c r="A56" s="81" t="s">
        <v>95</v>
      </c>
      <c r="B56" s="81"/>
      <c r="C56" s="75">
        <f>SUM(C54:C55)</f>
        <v>1182.5</v>
      </c>
      <c r="D56" s="75">
        <f>SUM(D54:D55)</f>
        <v>1229.921528</v>
      </c>
      <c r="E56" s="75">
        <f>SUM(E54:E55)</f>
        <v>1230000</v>
      </c>
      <c r="F56" s="75">
        <f>E56/1000-D56</f>
        <v>0.07847199999991972</v>
      </c>
    </row>
    <row r="57" spans="1:23" ht="12.75">
      <c r="A57" s="82" t="s">
        <v>1</v>
      </c>
      <c r="B57" s="82" t="s">
        <v>86</v>
      </c>
      <c r="C57" s="76">
        <v>5627.4</v>
      </c>
      <c r="D57" s="76">
        <f>285000*19/1000</f>
        <v>5415</v>
      </c>
      <c r="E57" s="76">
        <v>5415000</v>
      </c>
      <c r="F57" s="76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2.75">
      <c r="A58" s="82" t="s">
        <v>1</v>
      </c>
      <c r="B58" s="82" t="s">
        <v>88</v>
      </c>
      <c r="C58" s="76">
        <v>2</v>
      </c>
      <c r="D58" s="76">
        <v>5</v>
      </c>
      <c r="E58" s="76">
        <v>5000</v>
      </c>
      <c r="F58" s="76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2.75">
      <c r="A59" s="82" t="s">
        <v>1</v>
      </c>
      <c r="B59" s="82" t="s">
        <v>87</v>
      </c>
      <c r="C59" s="76">
        <v>1510</v>
      </c>
      <c r="D59" s="76">
        <f>D57*0.3</f>
        <v>1624.5</v>
      </c>
      <c r="E59" s="76">
        <v>1624500</v>
      </c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82" t="s">
        <v>1</v>
      </c>
      <c r="B60" s="82" t="s">
        <v>89</v>
      </c>
      <c r="C60" s="76">
        <v>69</v>
      </c>
      <c r="D60" s="76">
        <v>69</v>
      </c>
      <c r="E60" s="76">
        <v>72000</v>
      </c>
      <c r="F60" s="76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82" t="s">
        <v>1</v>
      </c>
      <c r="B61" s="82" t="s">
        <v>90</v>
      </c>
      <c r="C61" s="76">
        <v>45</v>
      </c>
      <c r="D61" s="76">
        <v>45</v>
      </c>
      <c r="E61" s="76">
        <v>70000</v>
      </c>
      <c r="F61" s="76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82" t="s">
        <v>1</v>
      </c>
      <c r="B62" s="82" t="s">
        <v>91</v>
      </c>
      <c r="C62" s="76">
        <f>1.5+1.3</f>
        <v>2.8</v>
      </c>
      <c r="D62" s="76">
        <f>1.5+1.3</f>
        <v>2.8</v>
      </c>
      <c r="E62" s="76">
        <f>1500+1300</f>
        <v>2800</v>
      </c>
      <c r="F62" s="76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82" t="s">
        <v>1</v>
      </c>
      <c r="B63" s="82" t="s">
        <v>92</v>
      </c>
      <c r="C63" s="76">
        <v>5.3</v>
      </c>
      <c r="D63" s="76">
        <v>5.3</v>
      </c>
      <c r="E63" s="76">
        <v>10000</v>
      </c>
      <c r="F63" s="76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82" t="s">
        <v>1</v>
      </c>
      <c r="B64" s="82" t="s">
        <v>93</v>
      </c>
      <c r="C64" s="76">
        <v>253.2</v>
      </c>
      <c r="D64" s="76">
        <v>253.2</v>
      </c>
      <c r="E64" s="76">
        <v>328500</v>
      </c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6" s="4" customFormat="1" ht="12.75">
      <c r="A65" s="81" t="s">
        <v>94</v>
      </c>
      <c r="B65" s="81"/>
      <c r="C65" s="75">
        <f>SUM(C57:C64)</f>
        <v>7514.7</v>
      </c>
      <c r="D65" s="75">
        <f>SUM(D57:D64)</f>
        <v>7419.8</v>
      </c>
      <c r="E65" s="75">
        <f>SUM(E57:E64)</f>
        <v>7527800</v>
      </c>
      <c r="F65" s="75">
        <f>E65/1000-D65</f>
        <v>108</v>
      </c>
    </row>
    <row r="66" spans="1:6" s="91" customFormat="1" ht="12.75">
      <c r="A66" s="89" t="s">
        <v>103</v>
      </c>
      <c r="B66" s="89"/>
      <c r="C66" s="90">
        <f>C56+C65</f>
        <v>8697.2</v>
      </c>
      <c r="D66" s="90">
        <f>D56+D65</f>
        <v>8649.721528</v>
      </c>
      <c r="E66" s="90">
        <f>E56+E65</f>
        <v>8757800</v>
      </c>
      <c r="F66" s="90"/>
    </row>
    <row r="67" spans="1:6" s="87" customFormat="1" ht="12.75">
      <c r="A67" s="85" t="s">
        <v>104</v>
      </c>
      <c r="B67" s="85"/>
      <c r="C67" s="86"/>
      <c r="D67" s="86">
        <v>8757.8</v>
      </c>
      <c r="E67" s="86">
        <v>8757800</v>
      </c>
      <c r="F67" s="86"/>
    </row>
    <row r="68" spans="1:6" s="87" customFormat="1" ht="12.75">
      <c r="A68" s="92" t="s">
        <v>105</v>
      </c>
      <c r="B68" s="92"/>
      <c r="C68" s="93"/>
      <c r="D68" s="93">
        <f>D67-D66</f>
        <v>108.07847199999924</v>
      </c>
      <c r="E68" s="93">
        <f>E67-E66</f>
        <v>0</v>
      </c>
      <c r="F68" s="86"/>
    </row>
    <row r="69" spans="1:6" s="97" customFormat="1" ht="12.75">
      <c r="A69" s="95"/>
      <c r="B69" s="95"/>
      <c r="C69" s="96"/>
      <c r="D69" s="96"/>
      <c r="E69" s="96"/>
      <c r="F69" s="96"/>
    </row>
    <row r="70" spans="1:23" ht="12.75">
      <c r="A70" s="81" t="s">
        <v>97</v>
      </c>
      <c r="B70" s="82" t="s">
        <v>90</v>
      </c>
      <c r="C70" s="76"/>
      <c r="D70" s="76">
        <f>(335916+114055)/1000</f>
        <v>449.971</v>
      </c>
      <c r="E70" s="76">
        <f>345050+114055+40895</f>
        <v>500000</v>
      </c>
      <c r="F70" s="76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12.75">
      <c r="A71" s="83" t="s">
        <v>108</v>
      </c>
      <c r="B71" s="82"/>
      <c r="C71" s="76"/>
      <c r="D71" s="76"/>
      <c r="E71" s="76"/>
      <c r="F71" s="76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ht="12.75">
      <c r="A72" s="83" t="s">
        <v>100</v>
      </c>
      <c r="B72" s="82"/>
      <c r="C72" s="76"/>
      <c r="D72" s="76"/>
      <c r="E72" s="76"/>
      <c r="F72" s="7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82"/>
      <c r="B73" s="82"/>
      <c r="C73" s="76"/>
      <c r="D73" s="76"/>
      <c r="E73" s="76"/>
      <c r="F73" s="7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82" t="s">
        <v>98</v>
      </c>
      <c r="B74" s="82"/>
      <c r="C74" s="84"/>
      <c r="D74" s="84">
        <f>D67+D70</f>
        <v>9207.770999999999</v>
      </c>
      <c r="E74" s="84">
        <f>E67+E70</f>
        <v>9257800</v>
      </c>
      <c r="F74" s="84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82"/>
      <c r="B75" s="82"/>
      <c r="C75" s="84"/>
      <c r="D75" s="84"/>
      <c r="E75" s="76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77"/>
      <c r="B76" s="77"/>
      <c r="C76" s="84"/>
      <c r="D76" s="84"/>
      <c r="E76" s="84">
        <v>9292</v>
      </c>
      <c r="F76" s="84">
        <f>E74/1000-E76</f>
        <v>-34.20000000000073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77"/>
      <c r="B77" s="77"/>
      <c r="C77" s="84"/>
      <c r="D77" s="84"/>
      <c r="E77" s="84"/>
      <c r="F77" s="84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77"/>
      <c r="B78" s="77"/>
      <c r="C78" s="84"/>
      <c r="D78" s="84"/>
      <c r="E78" s="84"/>
      <c r="F78" s="84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77"/>
      <c r="B79" s="77"/>
      <c r="C79" s="84"/>
      <c r="D79" s="84"/>
      <c r="E79" s="84"/>
      <c r="F79" s="84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77"/>
      <c r="B80" s="77"/>
      <c r="C80" s="84"/>
      <c r="D80" s="84"/>
      <c r="E80" s="84"/>
      <c r="F80" s="84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77"/>
      <c r="B81" s="77"/>
      <c r="C81" s="84"/>
      <c r="D81" s="84"/>
      <c r="E81" s="84"/>
      <c r="F81" s="84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77"/>
      <c r="B82" s="77"/>
      <c r="C82" s="84"/>
      <c r="D82" s="84"/>
      <c r="E82" s="84"/>
      <c r="F82" s="84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1:23" ht="12.75">
      <c r="A83" s="77"/>
      <c r="B83" s="77"/>
      <c r="C83" s="84"/>
      <c r="D83" s="84"/>
      <c r="E83" s="84"/>
      <c r="F83" s="84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>
      <c r="A84" s="77"/>
      <c r="B84" s="77"/>
      <c r="C84" s="84"/>
      <c r="D84" s="84"/>
      <c r="E84" s="84"/>
      <c r="F84" s="84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>
      <c r="A85" s="77"/>
      <c r="B85" s="77"/>
      <c r="C85" s="84"/>
      <c r="D85" s="84"/>
      <c r="E85" s="84"/>
      <c r="F85" s="84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2.75">
      <c r="A86" s="77"/>
      <c r="B86" s="77"/>
      <c r="C86" s="84"/>
      <c r="D86" s="84"/>
      <c r="E86" s="84"/>
      <c r="F86" s="84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3" ht="12.75">
      <c r="A87" s="77"/>
      <c r="B87" s="77"/>
      <c r="C87" s="84"/>
      <c r="D87" s="84"/>
      <c r="E87" s="84"/>
      <c r="F87" s="84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77"/>
      <c r="B88" s="77"/>
      <c r="C88" s="84"/>
      <c r="D88" s="84"/>
      <c r="E88" s="84"/>
      <c r="F88" s="84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77"/>
      <c r="B89" s="77"/>
      <c r="C89" s="84"/>
      <c r="D89" s="84"/>
      <c r="E89" s="84"/>
      <c r="F89" s="84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77"/>
      <c r="B90" s="77"/>
      <c r="C90" s="84"/>
      <c r="D90" s="84"/>
      <c r="E90" s="84"/>
      <c r="F90" s="84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ht="12.75">
      <c r="A91" s="77"/>
      <c r="B91" s="77"/>
      <c r="C91" s="84"/>
      <c r="D91" s="84"/>
      <c r="E91" s="84"/>
      <c r="F91" s="84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>
      <c r="A92" s="77"/>
      <c r="B92" s="77"/>
      <c r="C92" s="84"/>
      <c r="D92" s="84"/>
      <c r="E92" s="84"/>
      <c r="F92" s="84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ht="12.75">
      <c r="A93" s="77"/>
      <c r="B93" s="77"/>
      <c r="C93" s="84"/>
      <c r="D93" s="84"/>
      <c r="E93" s="84"/>
      <c r="F93" s="84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1:23" ht="12.75">
      <c r="A94" s="77"/>
      <c r="B94" s="77"/>
      <c r="C94" s="84"/>
      <c r="D94" s="84"/>
      <c r="E94" s="84"/>
      <c r="F94" s="84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2.75">
      <c r="A95" s="77"/>
      <c r="B95" s="77"/>
      <c r="C95" s="84"/>
      <c r="D95" s="84"/>
      <c r="E95" s="84"/>
      <c r="F95" s="84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1:23" ht="12.75">
      <c r="A96" s="77"/>
      <c r="B96" s="77"/>
      <c r="C96" s="84"/>
      <c r="D96" s="84"/>
      <c r="E96" s="84"/>
      <c r="F96" s="84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1:23" ht="12.75">
      <c r="A97" s="77"/>
      <c r="B97" s="77"/>
      <c r="C97" s="84"/>
      <c r="D97" s="84"/>
      <c r="E97" s="84"/>
      <c r="F97" s="84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1:23" ht="12.75">
      <c r="A98" s="77"/>
      <c r="B98" s="77"/>
      <c r="C98" s="84"/>
      <c r="D98" s="84"/>
      <c r="E98" s="84"/>
      <c r="F98" s="84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1:23" ht="12.75">
      <c r="A99" s="77"/>
      <c r="B99" s="77"/>
      <c r="C99" s="84"/>
      <c r="D99" s="84"/>
      <c r="E99" s="84"/>
      <c r="F99" s="84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1:23" ht="12.75">
      <c r="A100" s="77"/>
      <c r="B100" s="77"/>
      <c r="C100" s="84"/>
      <c r="D100" s="84"/>
      <c r="E100" s="84"/>
      <c r="F100" s="84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3" ht="12.75">
      <c r="A101" s="77"/>
      <c r="B101" s="77"/>
      <c r="C101" s="84"/>
      <c r="D101" s="84"/>
      <c r="E101" s="84"/>
      <c r="F101" s="84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1:23" ht="12.75">
      <c r="A102" s="77"/>
      <c r="B102" s="77"/>
      <c r="C102" s="84"/>
      <c r="D102" s="84"/>
      <c r="E102" s="84"/>
      <c r="F102" s="84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1:23" ht="12.75">
      <c r="A103" s="77"/>
      <c r="B103" s="77"/>
      <c r="C103" s="84"/>
      <c r="D103" s="84"/>
      <c r="E103" s="84"/>
      <c r="F103" s="84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1:23" ht="12.75">
      <c r="A104" s="77"/>
      <c r="B104" s="77"/>
      <c r="C104" s="84"/>
      <c r="D104" s="84"/>
      <c r="E104" s="84"/>
      <c r="F104" s="84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1:23" ht="12.75">
      <c r="A105" s="77"/>
      <c r="B105" s="77"/>
      <c r="C105" s="84"/>
      <c r="D105" s="84"/>
      <c r="E105" s="84"/>
      <c r="F105" s="84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23" ht="12.75">
      <c r="A106" s="77"/>
      <c r="B106" s="77"/>
      <c r="C106" s="84"/>
      <c r="D106" s="84"/>
      <c r="E106" s="84"/>
      <c r="F106" s="84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1:23" ht="12.75">
      <c r="A107" s="77"/>
      <c r="B107" s="77"/>
      <c r="C107" s="84"/>
      <c r="D107" s="84"/>
      <c r="E107" s="84"/>
      <c r="F107" s="8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1:23" ht="12.75">
      <c r="A108" s="77"/>
      <c r="B108" s="77"/>
      <c r="C108" s="84"/>
      <c r="D108" s="84"/>
      <c r="E108" s="84"/>
      <c r="F108" s="8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1:23" ht="12.75">
      <c r="A109" s="77"/>
      <c r="B109" s="77"/>
      <c r="C109" s="84"/>
      <c r="D109" s="84"/>
      <c r="E109" s="84"/>
      <c r="F109" s="8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1:23" ht="12.75">
      <c r="A110" s="77"/>
      <c r="B110" s="77"/>
      <c r="C110" s="84"/>
      <c r="D110" s="84"/>
      <c r="E110" s="84"/>
      <c r="F110" s="8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1:23" ht="12.75">
      <c r="A111" s="77"/>
      <c r="B111" s="77"/>
      <c r="C111" s="84"/>
      <c r="D111" s="84"/>
      <c r="E111" s="84"/>
      <c r="F111" s="8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1:23" ht="12.75">
      <c r="A112" s="77"/>
      <c r="B112" s="77"/>
      <c r="C112" s="84"/>
      <c r="D112" s="84"/>
      <c r="E112" s="84"/>
      <c r="F112" s="8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1:23" ht="12.75">
      <c r="A113" s="77"/>
      <c r="B113" s="77"/>
      <c r="C113" s="84"/>
      <c r="D113" s="84"/>
      <c r="E113" s="84"/>
      <c r="F113" s="84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1:23" ht="12.75">
      <c r="A114" s="77"/>
      <c r="B114" s="77"/>
      <c r="C114" s="84"/>
      <c r="D114" s="84"/>
      <c r="E114" s="84"/>
      <c r="F114" s="84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1:23" ht="12.75">
      <c r="A115" s="77"/>
      <c r="B115" s="77"/>
      <c r="C115" s="84"/>
      <c r="D115" s="84"/>
      <c r="E115" s="84"/>
      <c r="F115" s="84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1:23" ht="12.75">
      <c r="A116" s="77"/>
      <c r="B116" s="77"/>
      <c r="C116" s="84"/>
      <c r="D116" s="84"/>
      <c r="E116" s="84"/>
      <c r="F116" s="84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1:23" ht="12.75">
      <c r="A117" s="77"/>
      <c r="B117" s="77"/>
      <c r="C117" s="84"/>
      <c r="D117" s="84"/>
      <c r="E117" s="84"/>
      <c r="F117" s="84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1:23" ht="12.75">
      <c r="A118" s="77"/>
      <c r="B118" s="77"/>
      <c r="C118" s="84"/>
      <c r="D118" s="84"/>
      <c r="E118" s="84"/>
      <c r="F118" s="84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1:23" ht="12.75">
      <c r="A119" s="77"/>
      <c r="B119" s="77"/>
      <c r="C119" s="84"/>
      <c r="D119" s="84"/>
      <c r="E119" s="84"/>
      <c r="F119" s="84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1:23" ht="12.75">
      <c r="A120" s="77"/>
      <c r="B120" s="77"/>
      <c r="C120" s="84"/>
      <c r="D120" s="84"/>
      <c r="E120" s="84"/>
      <c r="F120" s="84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2.75">
      <c r="A121" s="77"/>
      <c r="B121" s="77"/>
      <c r="C121" s="84"/>
      <c r="D121" s="84"/>
      <c r="E121" s="84"/>
      <c r="F121" s="84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1:23" ht="12.75">
      <c r="A122" s="77"/>
      <c r="B122" s="77"/>
      <c r="C122" s="84"/>
      <c r="D122" s="84"/>
      <c r="E122" s="84"/>
      <c r="F122" s="84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1:23" ht="12.75">
      <c r="A123" s="77"/>
      <c r="B123" s="77"/>
      <c r="C123" s="84"/>
      <c r="D123" s="84"/>
      <c r="E123" s="84"/>
      <c r="F123" s="84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77"/>
      <c r="B124" s="77"/>
      <c r="C124" s="84"/>
      <c r="D124" s="84"/>
      <c r="E124" s="84"/>
      <c r="F124" s="84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77"/>
      <c r="B125" s="77"/>
      <c r="C125" s="84"/>
      <c r="D125" s="84"/>
      <c r="E125" s="84"/>
      <c r="F125" s="84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77"/>
      <c r="B126" s="77"/>
      <c r="C126" s="84"/>
      <c r="D126" s="84"/>
      <c r="E126" s="84"/>
      <c r="F126" s="84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77"/>
      <c r="B127" s="77"/>
      <c r="C127" s="84"/>
      <c r="D127" s="84"/>
      <c r="E127" s="84"/>
      <c r="F127" s="84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77"/>
      <c r="B128" s="77"/>
      <c r="C128" s="84"/>
      <c r="D128" s="84"/>
      <c r="E128" s="84"/>
      <c r="F128" s="84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ht="12.75">
      <c r="A129" s="77"/>
      <c r="B129" s="77"/>
      <c r="C129" s="84"/>
      <c r="D129" s="84"/>
      <c r="E129" s="84"/>
      <c r="F129" s="84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ht="12.75">
      <c r="A130" s="77"/>
      <c r="B130" s="77"/>
      <c r="C130" s="84"/>
      <c r="D130" s="84"/>
      <c r="E130" s="84"/>
      <c r="F130" s="84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2.75">
      <c r="A131" s="77"/>
      <c r="B131" s="77"/>
      <c r="C131" s="84"/>
      <c r="D131" s="84"/>
      <c r="E131" s="84"/>
      <c r="F131" s="84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2.75">
      <c r="A132" s="77"/>
      <c r="B132" s="77"/>
      <c r="C132" s="84"/>
      <c r="D132" s="84"/>
      <c r="E132" s="84"/>
      <c r="F132" s="84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2.75">
      <c r="A133" s="77"/>
      <c r="B133" s="77"/>
      <c r="C133" s="84"/>
      <c r="D133" s="84"/>
      <c r="E133" s="84"/>
      <c r="F133" s="84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</sheetData>
  <mergeCells count="10">
    <mergeCell ref="G50:H50"/>
    <mergeCell ref="J50:K50"/>
    <mergeCell ref="E1:E2"/>
    <mergeCell ref="F1:F2"/>
    <mergeCell ref="G1:I1"/>
    <mergeCell ref="J1:L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="85" zoomScaleNormal="85" workbookViewId="0" topLeftCell="A25">
      <selection activeCell="G50" sqref="G50"/>
    </sheetView>
  </sheetViews>
  <sheetFormatPr defaultColWidth="9.00390625" defaultRowHeight="12.75"/>
  <cols>
    <col min="1" max="1" width="20.75390625" style="0" customWidth="1"/>
    <col min="2" max="2" width="19.375" style="28" customWidth="1"/>
    <col min="3" max="4" width="14.00390625" style="1" customWidth="1"/>
    <col min="5" max="6" width="14.375" style="1" customWidth="1"/>
    <col min="7" max="8" width="9.75390625" style="0" customWidth="1"/>
    <col min="9" max="9" width="12.625" style="0" bestFit="1" customWidth="1"/>
    <col min="10" max="10" width="11.75390625" style="0" customWidth="1"/>
    <col min="11" max="11" width="10.375" style="0" customWidth="1"/>
    <col min="12" max="12" width="13.625" style="0" bestFit="1" customWidth="1"/>
  </cols>
  <sheetData>
    <row r="1" spans="1:12" s="5" customFormat="1" ht="15" customHeight="1">
      <c r="A1" s="109" t="s">
        <v>115</v>
      </c>
      <c r="B1" s="118"/>
      <c r="C1" s="120" t="s">
        <v>19</v>
      </c>
      <c r="D1" s="120" t="s">
        <v>73</v>
      </c>
      <c r="E1" s="124" t="s">
        <v>72</v>
      </c>
      <c r="F1" s="124" t="s">
        <v>106</v>
      </c>
      <c r="G1" s="125">
        <v>2014</v>
      </c>
      <c r="H1" s="126"/>
      <c r="I1" s="127"/>
      <c r="J1" s="128">
        <v>2015</v>
      </c>
      <c r="K1" s="129"/>
      <c r="L1" s="130"/>
    </row>
    <row r="2" spans="1:12" s="5" customFormat="1" ht="31.5" customHeight="1">
      <c r="A2" s="110" t="s">
        <v>117</v>
      </c>
      <c r="B2" s="119"/>
      <c r="C2" s="120"/>
      <c r="D2" s="120"/>
      <c r="E2" s="124"/>
      <c r="F2" s="124"/>
      <c r="G2" s="7" t="s">
        <v>8</v>
      </c>
      <c r="H2" s="6" t="s">
        <v>84</v>
      </c>
      <c r="I2" s="20" t="s">
        <v>18</v>
      </c>
      <c r="J2" s="7" t="s">
        <v>8</v>
      </c>
      <c r="K2" s="6" t="s">
        <v>85</v>
      </c>
      <c r="L2" s="20" t="s">
        <v>18</v>
      </c>
    </row>
    <row r="3" spans="1:12" s="2" customFormat="1" ht="12.75">
      <c r="A3" s="19" t="s">
        <v>14</v>
      </c>
      <c r="B3" s="31"/>
      <c r="C3" s="19">
        <v>2</v>
      </c>
      <c r="D3" s="19" t="s">
        <v>74</v>
      </c>
      <c r="E3" s="8" t="s">
        <v>75</v>
      </c>
      <c r="F3" s="8" t="s">
        <v>76</v>
      </c>
      <c r="G3" s="18" t="s">
        <v>79</v>
      </c>
      <c r="H3" s="18" t="s">
        <v>80</v>
      </c>
      <c r="I3" s="64" t="s">
        <v>81</v>
      </c>
      <c r="J3" s="18" t="s">
        <v>15</v>
      </c>
      <c r="K3" s="18" t="s">
        <v>16</v>
      </c>
      <c r="L3" s="18" t="s">
        <v>17</v>
      </c>
    </row>
    <row r="4" spans="1:12" ht="12.75">
      <c r="A4" s="23" t="s">
        <v>0</v>
      </c>
      <c r="B4" s="32"/>
      <c r="C4" s="25">
        <v>1182500</v>
      </c>
      <c r="D4" s="25">
        <v>1182500</v>
      </c>
      <c r="E4" s="29">
        <f>D4/D47*E47</f>
        <v>1263404.2706265263</v>
      </c>
      <c r="F4" s="9">
        <v>1230000</v>
      </c>
      <c r="G4" s="49">
        <f>F4/F53*G49</f>
        <v>1331.6478543630321</v>
      </c>
      <c r="H4" s="50">
        <f>ROUND(G4*G52,1)</f>
        <v>1293.2</v>
      </c>
      <c r="I4" s="70"/>
      <c r="J4" s="49">
        <f>H4/H53*J49</f>
        <v>1396.7449232754325</v>
      </c>
      <c r="K4" s="50">
        <f>ROUND(J4*J52,1)</f>
        <v>1327.5</v>
      </c>
      <c r="L4" s="22"/>
    </row>
    <row r="5" spans="1:12" ht="12.75">
      <c r="A5" s="23" t="s">
        <v>1</v>
      </c>
      <c r="B5" s="32"/>
      <c r="C5" s="9">
        <v>7514705.3</v>
      </c>
      <c r="D5" s="9">
        <v>7514705.3</v>
      </c>
      <c r="E5" s="29">
        <f>D5/D47*E47</f>
        <v>8028846.315872974</v>
      </c>
      <c r="F5" s="9">
        <v>7527800</v>
      </c>
      <c r="G5" s="51">
        <f>F5/F53*G49</f>
        <v>8149.901396808157</v>
      </c>
      <c r="H5" s="52">
        <f>ROUND(G5*G52,1)</f>
        <v>7914.9</v>
      </c>
      <c r="I5" s="69"/>
      <c r="J5" s="51">
        <f>H5/H53*J49</f>
        <v>8548.63624592694</v>
      </c>
      <c r="K5" s="52">
        <f>ROUND(J5*J52,1)</f>
        <v>8124.8</v>
      </c>
      <c r="L5" s="21"/>
    </row>
    <row r="6" spans="1:12" ht="12.75">
      <c r="A6" s="23" t="s">
        <v>109</v>
      </c>
      <c r="B6" s="88" t="s">
        <v>111</v>
      </c>
      <c r="C6" s="9"/>
      <c r="D6" s="9"/>
      <c r="E6" s="29"/>
      <c r="F6" s="9">
        <v>17100</v>
      </c>
      <c r="G6" s="51">
        <f>F6/F53*G49</f>
        <v>18.513153097242153</v>
      </c>
      <c r="H6" s="52">
        <f>ROUND(G6*G52,1)</f>
        <v>18</v>
      </c>
      <c r="I6" s="61"/>
      <c r="J6" s="51">
        <f>H6/H53*J49</f>
        <v>19.441237719577625</v>
      </c>
      <c r="K6" s="52">
        <f>ROUND(J6*J52,1)</f>
        <v>18.5</v>
      </c>
      <c r="L6" s="46"/>
    </row>
    <row r="7" spans="1:12" ht="12.75">
      <c r="A7" s="23" t="s">
        <v>110</v>
      </c>
      <c r="B7" s="88" t="s">
        <v>112</v>
      </c>
      <c r="C7" s="9"/>
      <c r="D7" s="9"/>
      <c r="E7" s="29"/>
      <c r="F7" s="9">
        <v>17100</v>
      </c>
      <c r="G7" s="51">
        <f>F7/F53*G49</f>
        <v>18.513153097242153</v>
      </c>
      <c r="H7" s="52">
        <f>ROUND(G7*G52,1)</f>
        <v>18</v>
      </c>
      <c r="I7" s="61"/>
      <c r="J7" s="51">
        <f>H7/H53*J49</f>
        <v>19.441237719577625</v>
      </c>
      <c r="K7" s="52">
        <f>ROUND(J7*J52,1)</f>
        <v>18.5</v>
      </c>
      <c r="L7" s="46"/>
    </row>
    <row r="8" spans="1:12" ht="12.75">
      <c r="A8" s="23" t="s">
        <v>20</v>
      </c>
      <c r="B8" s="98" t="s">
        <v>102</v>
      </c>
      <c r="C8" s="9">
        <v>14000</v>
      </c>
      <c r="D8" s="9">
        <v>14000</v>
      </c>
      <c r="E8" s="29">
        <f>D8/D47*E47</f>
        <v>14957.851829827798</v>
      </c>
      <c r="F8" s="9">
        <f>15000+100000</f>
        <v>115000</v>
      </c>
      <c r="G8" s="51">
        <f>F8/F53*G49</f>
        <v>124.5036611802835</v>
      </c>
      <c r="H8" s="52">
        <f>ROUND(G8*G52,1)</f>
        <v>120.9</v>
      </c>
      <c r="I8" s="69"/>
      <c r="J8" s="51">
        <f>H8/H53*J49</f>
        <v>130.58031334982974</v>
      </c>
      <c r="K8" s="52">
        <f>ROUND(J8*J52,1)</f>
        <v>124.1</v>
      </c>
      <c r="L8" s="21"/>
    </row>
    <row r="9" spans="1:12" ht="12.75">
      <c r="A9" s="23" t="s">
        <v>69</v>
      </c>
      <c r="B9" s="32" t="s">
        <v>68</v>
      </c>
      <c r="C9" s="9">
        <v>120194.7</v>
      </c>
      <c r="D9" s="9">
        <v>120194.7</v>
      </c>
      <c r="E9" s="29">
        <f>D9/D47*E47</f>
        <v>128418.17952361448</v>
      </c>
      <c r="F9" s="9">
        <v>110000</v>
      </c>
      <c r="G9" s="51">
        <f>F9/F53*G49</f>
        <v>119.09045852027117</v>
      </c>
      <c r="H9" s="52">
        <f>ROUND(G9*G52,1)</f>
        <v>115.7</v>
      </c>
      <c r="I9" s="69"/>
      <c r="J9" s="51">
        <f>H9/H53*J49</f>
        <v>124.9639557863962</v>
      </c>
      <c r="K9" s="52">
        <f>ROUND(J9*J52,1)</f>
        <v>118.8</v>
      </c>
      <c r="L9" s="21"/>
    </row>
    <row r="10" spans="1:12" ht="12.75">
      <c r="A10" s="23" t="s">
        <v>21</v>
      </c>
      <c r="B10" s="32" t="s">
        <v>66</v>
      </c>
      <c r="C10" s="9">
        <v>485300</v>
      </c>
      <c r="D10" s="9">
        <v>485300</v>
      </c>
      <c r="E10" s="29">
        <f>D10/D47*E47</f>
        <v>518503.2495011021</v>
      </c>
      <c r="F10" s="9">
        <f>500000+500000</f>
        <v>1000000</v>
      </c>
      <c r="G10" s="51">
        <f>F10/F53*G49</f>
        <v>1082.640532002465</v>
      </c>
      <c r="H10" s="52">
        <f>ROUND(G10*G52,1)</f>
        <v>1051.4</v>
      </c>
      <c r="I10" s="69"/>
      <c r="J10" s="51">
        <f>H10/H53*J49</f>
        <v>1135.5842965757731</v>
      </c>
      <c r="K10" s="52">
        <f>ROUND(J10*J52,1)</f>
        <v>1079.3</v>
      </c>
      <c r="L10" s="21"/>
    </row>
    <row r="11" spans="1:12" ht="12.75">
      <c r="A11" s="24" t="s">
        <v>23</v>
      </c>
      <c r="B11" s="99" t="s">
        <v>10</v>
      </c>
      <c r="C11" s="100">
        <v>399000</v>
      </c>
      <c r="D11" s="100"/>
      <c r="E11" s="101"/>
      <c r="F11" s="100">
        <v>282000</v>
      </c>
      <c r="G11" s="102">
        <v>391.6</v>
      </c>
      <c r="H11" s="103">
        <v>391.6</v>
      </c>
      <c r="I11" s="104"/>
      <c r="J11" s="102">
        <v>392.8</v>
      </c>
      <c r="K11" s="103">
        <v>392.8</v>
      </c>
      <c r="L11" s="105"/>
    </row>
    <row r="12" spans="1:12" ht="12.75">
      <c r="A12" s="24" t="s">
        <v>24</v>
      </c>
      <c r="B12" s="32" t="s">
        <v>22</v>
      </c>
      <c r="C12" s="9">
        <v>3000</v>
      </c>
      <c r="D12" s="39">
        <v>3000</v>
      </c>
      <c r="E12" s="29">
        <f>D12/D47*E47</f>
        <v>3205.2539635345274</v>
      </c>
      <c r="F12" s="9">
        <v>3000</v>
      </c>
      <c r="G12" s="51">
        <f>F12/F53*G49</f>
        <v>3.247921596007395</v>
      </c>
      <c r="H12" s="52">
        <f>ROUND(G12*G52,1)</f>
        <v>3.2</v>
      </c>
      <c r="I12" s="69"/>
      <c r="J12" s="51">
        <f>H12/H53*J49</f>
        <v>3.4562200390360225</v>
      </c>
      <c r="K12" s="52">
        <f>ROUND(J12*J52,1)</f>
        <v>3.3</v>
      </c>
      <c r="L12" s="21"/>
    </row>
    <row r="13" spans="1:12" ht="12.75">
      <c r="A13" s="24" t="s">
        <v>25</v>
      </c>
      <c r="B13" s="99" t="s">
        <v>9</v>
      </c>
      <c r="C13" s="100">
        <v>20000</v>
      </c>
      <c r="D13" s="100"/>
      <c r="E13" s="101"/>
      <c r="F13" s="100">
        <v>16800</v>
      </c>
      <c r="G13" s="102">
        <v>16.8</v>
      </c>
      <c r="H13" s="103">
        <v>16.8</v>
      </c>
      <c r="I13" s="104"/>
      <c r="J13" s="102">
        <v>16.8</v>
      </c>
      <c r="K13" s="103">
        <v>16.8</v>
      </c>
      <c r="L13" s="105"/>
    </row>
    <row r="14" spans="1:12" ht="12.75">
      <c r="A14" s="23" t="s">
        <v>26</v>
      </c>
      <c r="B14" s="32" t="s">
        <v>27</v>
      </c>
      <c r="C14" s="9">
        <v>603114</v>
      </c>
      <c r="D14" s="9">
        <v>603114</v>
      </c>
      <c r="E14" s="29">
        <f>D14/D47*E47</f>
        <v>644377.8463210544</v>
      </c>
      <c r="F14" s="9">
        <f>640000-50000</f>
        <v>590000</v>
      </c>
      <c r="G14" s="51">
        <f>F14/F53*G49</f>
        <v>638.7579138814544</v>
      </c>
      <c r="H14" s="52">
        <f>ROUND(G14*G52,1)</f>
        <v>620.3</v>
      </c>
      <c r="I14" s="69"/>
      <c r="J14" s="51">
        <f>H14/H53*J49</f>
        <v>669.9666531918889</v>
      </c>
      <c r="K14" s="52">
        <f>ROUND(J14*J52,1)</f>
        <v>636.7</v>
      </c>
      <c r="L14" s="21"/>
    </row>
    <row r="15" spans="1:12" ht="12.75">
      <c r="A15" s="23" t="s">
        <v>28</v>
      </c>
      <c r="B15" s="33" t="s">
        <v>29</v>
      </c>
      <c r="C15" s="9">
        <v>4000</v>
      </c>
      <c r="D15" s="39">
        <v>1000</v>
      </c>
      <c r="E15" s="29">
        <f>D15/D47*E47</f>
        <v>1068.4179878448426</v>
      </c>
      <c r="F15" s="9">
        <v>1000</v>
      </c>
      <c r="G15" s="51">
        <f>F15/F53*G49</f>
        <v>1.082640532002465</v>
      </c>
      <c r="H15" s="52">
        <f>ROUND(G15*G52,1)</f>
        <v>1.1</v>
      </c>
      <c r="I15" s="69"/>
      <c r="J15" s="51">
        <f>H15/H53*J49</f>
        <v>1.1880756384186326</v>
      </c>
      <c r="K15" s="52">
        <f>ROUND(J15*J52,1)</f>
        <v>1.1</v>
      </c>
      <c r="L15" s="21"/>
    </row>
    <row r="16" spans="1:12" ht="12.75">
      <c r="A16" s="23" t="s">
        <v>30</v>
      </c>
      <c r="B16" s="32" t="s">
        <v>31</v>
      </c>
      <c r="C16" s="9">
        <v>190454.01</v>
      </c>
      <c r="D16" s="9"/>
      <c r="E16" s="29"/>
      <c r="F16" s="9"/>
      <c r="G16" s="51"/>
      <c r="H16" s="52"/>
      <c r="I16" s="69" t="s">
        <v>12</v>
      </c>
      <c r="J16" s="51"/>
      <c r="K16" s="52"/>
      <c r="L16" s="21"/>
    </row>
    <row r="17" spans="1:12" ht="12.75">
      <c r="A17" s="23" t="s">
        <v>32</v>
      </c>
      <c r="B17" s="32" t="s">
        <v>33</v>
      </c>
      <c r="C17" s="9">
        <v>641165</v>
      </c>
      <c r="D17" s="9">
        <v>641165</v>
      </c>
      <c r="E17" s="29">
        <f>D17/D47*E47</f>
        <v>685032.2191765385</v>
      </c>
      <c r="F17" s="9">
        <v>685000</v>
      </c>
      <c r="G17" s="51">
        <f>F17/F53*G49</f>
        <v>741.6087644216885</v>
      </c>
      <c r="H17" s="52">
        <f>ROUND(G17*G52,1)</f>
        <v>720.2</v>
      </c>
      <c r="I17" s="69"/>
      <c r="J17" s="51">
        <f>H17/H53*J49</f>
        <v>777.8655225355448</v>
      </c>
      <c r="K17" s="52">
        <f>ROUND(J17*J52,1)</f>
        <v>739.3</v>
      </c>
      <c r="L17" s="21"/>
    </row>
    <row r="18" spans="1:12" ht="45">
      <c r="A18" s="23"/>
      <c r="B18" s="106" t="s">
        <v>113</v>
      </c>
      <c r="C18" s="9"/>
      <c r="D18" s="9"/>
      <c r="E18" s="29"/>
      <c r="F18" s="9">
        <v>100000</v>
      </c>
      <c r="G18" s="51">
        <f>F18/F53*G49</f>
        <v>108.26405320024651</v>
      </c>
      <c r="H18" s="52">
        <f>ROUND(G18*G52,1)</f>
        <v>105.1</v>
      </c>
      <c r="I18" s="69"/>
      <c r="J18" s="51">
        <f>H18/H53*J49</f>
        <v>113.51522690708934</v>
      </c>
      <c r="K18" s="52">
        <f>ROUND(J18*J52,1)</f>
        <v>107.9</v>
      </c>
      <c r="L18" s="21"/>
    </row>
    <row r="19" spans="1:12" ht="12.75">
      <c r="A19" s="23"/>
      <c r="B19" s="32" t="s">
        <v>13</v>
      </c>
      <c r="C19" s="9"/>
      <c r="D19" s="9"/>
      <c r="E19" s="29"/>
      <c r="F19" s="9"/>
      <c r="G19" s="51"/>
      <c r="H19" s="52"/>
      <c r="I19" s="69"/>
      <c r="J19" s="51"/>
      <c r="K19" s="52"/>
      <c r="L19" s="21"/>
    </row>
    <row r="20" spans="1:12" ht="12.75">
      <c r="A20" s="23" t="s">
        <v>34</v>
      </c>
      <c r="B20" s="32" t="s">
        <v>67</v>
      </c>
      <c r="C20" s="9">
        <v>300860</v>
      </c>
      <c r="D20" s="9">
        <v>300860</v>
      </c>
      <c r="E20" s="29">
        <f>D20/D47*E47</f>
        <v>321444.2358229993</v>
      </c>
      <c r="F20" s="9">
        <v>322000</v>
      </c>
      <c r="G20" s="51">
        <f>F20/F53*G49</f>
        <v>348.61025130479374</v>
      </c>
      <c r="H20" s="52">
        <f>ROUND(G20*G52,1)</f>
        <v>338.6</v>
      </c>
      <c r="I20" s="69"/>
      <c r="J20" s="51">
        <f>H20/H53*J49</f>
        <v>365.71128288049914</v>
      </c>
      <c r="K20" s="52">
        <f>ROUND(J20*J52,1)</f>
        <v>347.6</v>
      </c>
      <c r="L20" s="21"/>
    </row>
    <row r="21" spans="1:12" ht="12.75">
      <c r="A21" s="23" t="s">
        <v>35</v>
      </c>
      <c r="B21" s="32" t="s">
        <v>36</v>
      </c>
      <c r="C21" s="9">
        <v>94800</v>
      </c>
      <c r="D21" s="9"/>
      <c r="E21" s="29"/>
      <c r="F21" s="9"/>
      <c r="G21" s="51"/>
      <c r="H21" s="52"/>
      <c r="I21" s="69"/>
      <c r="J21" s="51"/>
      <c r="K21" s="52"/>
      <c r="L21" s="21"/>
    </row>
    <row r="22" spans="1:12" ht="12.75">
      <c r="A22" s="23" t="s">
        <v>37</v>
      </c>
      <c r="B22" s="34" t="s">
        <v>38</v>
      </c>
      <c r="C22" s="9">
        <f>945200+1143600+505552</f>
        <v>2594352</v>
      </c>
      <c r="D22" s="9"/>
      <c r="E22" s="29"/>
      <c r="F22" s="9"/>
      <c r="G22" s="51"/>
      <c r="H22" s="52"/>
      <c r="I22" s="69"/>
      <c r="J22" s="51"/>
      <c r="K22" s="52"/>
      <c r="L22" s="21"/>
    </row>
    <row r="23" spans="1:12" ht="12.75">
      <c r="A23" s="23" t="s">
        <v>45</v>
      </c>
      <c r="B23" s="34" t="s">
        <v>38</v>
      </c>
      <c r="C23" s="9">
        <v>507133</v>
      </c>
      <c r="D23" s="9"/>
      <c r="E23" s="29"/>
      <c r="F23" s="9"/>
      <c r="G23" s="51"/>
      <c r="H23" s="52"/>
      <c r="I23" s="69"/>
      <c r="J23" s="51"/>
      <c r="K23" s="52"/>
      <c r="L23" s="21"/>
    </row>
    <row r="24" spans="1:12" ht="12.75">
      <c r="A24" s="23" t="s">
        <v>39</v>
      </c>
      <c r="B24" s="34" t="s">
        <v>41</v>
      </c>
      <c r="C24" s="9">
        <v>556135</v>
      </c>
      <c r="D24" s="9"/>
      <c r="E24" s="29"/>
      <c r="F24" s="9"/>
      <c r="G24" s="51"/>
      <c r="H24" s="52"/>
      <c r="I24" s="69"/>
      <c r="J24" s="51"/>
      <c r="K24" s="52"/>
      <c r="L24" s="21"/>
    </row>
    <row r="25" spans="1:12" ht="12.75">
      <c r="A25" s="23" t="s">
        <v>39</v>
      </c>
      <c r="B25" s="34" t="s">
        <v>40</v>
      </c>
      <c r="C25" s="9">
        <v>819098</v>
      </c>
      <c r="D25" s="39"/>
      <c r="E25" s="29"/>
      <c r="F25" s="9"/>
      <c r="G25" s="51"/>
      <c r="H25" s="52"/>
      <c r="I25" s="69"/>
      <c r="J25" s="51"/>
      <c r="K25" s="52"/>
      <c r="L25" s="21"/>
    </row>
    <row r="26" spans="1:12" ht="12.75">
      <c r="A26" s="23" t="s">
        <v>44</v>
      </c>
      <c r="B26" s="34" t="s">
        <v>40</v>
      </c>
      <c r="C26" s="9">
        <v>120190</v>
      </c>
      <c r="D26" s="39">
        <v>50000</v>
      </c>
      <c r="E26" s="29">
        <f>D26/D47*E47</f>
        <v>53420.89939224212</v>
      </c>
      <c r="F26" s="9">
        <v>50000</v>
      </c>
      <c r="G26" s="51">
        <f>F26/F53*G49</f>
        <v>54.132026600123254</v>
      </c>
      <c r="H26" s="52">
        <f>ROUND(G26*G52,1)</f>
        <v>52.6</v>
      </c>
      <c r="I26" s="69"/>
      <c r="J26" s="51">
        <f>H26/H53*J49</f>
        <v>56.811616891654616</v>
      </c>
      <c r="K26" s="52">
        <f>ROUND(J26*J52,1)</f>
        <v>54</v>
      </c>
      <c r="L26" s="21"/>
    </row>
    <row r="27" spans="1:12" ht="12.75">
      <c r="A27" s="23" t="s">
        <v>46</v>
      </c>
      <c r="B27" s="34" t="s">
        <v>40</v>
      </c>
      <c r="C27" s="9">
        <v>60712</v>
      </c>
      <c r="D27" s="39">
        <v>20000</v>
      </c>
      <c r="E27" s="29">
        <f>D27/D47*E47</f>
        <v>21368.35975689685</v>
      </c>
      <c r="F27" s="9">
        <v>20000</v>
      </c>
      <c r="G27" s="51">
        <f>F27/F53*G49</f>
        <v>21.6528106400493</v>
      </c>
      <c r="H27" s="52">
        <f>ROUND(G27*G52,1)</f>
        <v>21</v>
      </c>
      <c r="I27" s="69"/>
      <c r="J27" s="51">
        <f>H27/H53*J49</f>
        <v>22.681444006173898</v>
      </c>
      <c r="K27" s="52">
        <f>ROUND(J27*J52,1)</f>
        <v>21.6</v>
      </c>
      <c r="L27" s="21"/>
    </row>
    <row r="28" spans="1:12" ht="12.75">
      <c r="A28" s="23" t="s">
        <v>42</v>
      </c>
      <c r="B28" s="32" t="s">
        <v>43</v>
      </c>
      <c r="C28" s="9">
        <v>297300</v>
      </c>
      <c r="D28" s="9">
        <v>297300</v>
      </c>
      <c r="E28" s="29">
        <f>D28/D47*E47</f>
        <v>317640.6677862717</v>
      </c>
      <c r="F28" s="9">
        <f>318000-9900</f>
        <v>308100</v>
      </c>
      <c r="G28" s="51">
        <f>F28/F53*G49</f>
        <v>333.56154790995953</v>
      </c>
      <c r="H28" s="52">
        <f>ROUND(G28*G52,1)</f>
        <v>323.9</v>
      </c>
      <c r="I28" s="69"/>
      <c r="J28" s="51">
        <f>H28/H53*J49</f>
        <v>349.83427207617734</v>
      </c>
      <c r="K28" s="52">
        <f>ROUND(J28*J52,1)</f>
        <v>332.5</v>
      </c>
      <c r="L28" s="21"/>
    </row>
    <row r="29" spans="1:12" ht="12.75">
      <c r="A29" s="23" t="s">
        <v>77</v>
      </c>
      <c r="B29" s="32" t="s">
        <v>78</v>
      </c>
      <c r="C29" s="9"/>
      <c r="D29" s="9"/>
      <c r="E29" s="29"/>
      <c r="F29" s="9">
        <v>10000</v>
      </c>
      <c r="G29" s="51">
        <f>F29/F53*G49</f>
        <v>10.82640532002465</v>
      </c>
      <c r="H29" s="52">
        <f>ROUND(G29*G52,1)</f>
        <v>10.5</v>
      </c>
      <c r="I29" s="69"/>
      <c r="J29" s="51">
        <f>H29/H53*J49</f>
        <v>11.340722003086949</v>
      </c>
      <c r="K29" s="52">
        <f>ROUND(J29*J52,1)</f>
        <v>10.8</v>
      </c>
      <c r="L29" s="21"/>
    </row>
    <row r="30" spans="1:12" ht="12.75">
      <c r="A30" s="23" t="s">
        <v>47</v>
      </c>
      <c r="B30" s="32" t="s">
        <v>70</v>
      </c>
      <c r="C30" s="9">
        <v>1263796</v>
      </c>
      <c r="D30" s="9">
        <v>1263796</v>
      </c>
      <c r="E30" s="29">
        <f>D30/D47*E47</f>
        <v>1350262.3793663606</v>
      </c>
      <c r="F30" s="9">
        <f>1350000-30000-50000</f>
        <v>1270000</v>
      </c>
      <c r="G30" s="51">
        <f>F30/F53*G49</f>
        <v>1374.9534756431306</v>
      </c>
      <c r="H30" s="52">
        <f>ROUND(G30*G52,1)</f>
        <v>1335.3</v>
      </c>
      <c r="I30" s="69"/>
      <c r="J30" s="51">
        <f>H30/H53*J49</f>
        <v>1442.2158181640002</v>
      </c>
      <c r="K30" s="52">
        <f>ROUND(J30*J52,1)</f>
        <v>1370.7</v>
      </c>
      <c r="L30" s="21"/>
    </row>
    <row r="31" spans="1:12" ht="12.75">
      <c r="A31" s="23" t="s">
        <v>48</v>
      </c>
      <c r="B31" s="32" t="s">
        <v>2</v>
      </c>
      <c r="C31" s="9">
        <v>0</v>
      </c>
      <c r="D31" s="9">
        <v>1000</v>
      </c>
      <c r="E31" s="29">
        <f>D31/D47*E47</f>
        <v>1068.4179878448426</v>
      </c>
      <c r="F31" s="9">
        <v>1000</v>
      </c>
      <c r="G31" s="51">
        <f>F31/F53*G49</f>
        <v>1.082640532002465</v>
      </c>
      <c r="H31" s="52">
        <f>ROUND(G31*G52,1)</f>
        <v>1.1</v>
      </c>
      <c r="I31" s="69"/>
      <c r="J31" s="51">
        <f>H31/H53*J49</f>
        <v>1.1880756384186326</v>
      </c>
      <c r="K31" s="52">
        <f>ROUND(J31*J52,1)</f>
        <v>1.1</v>
      </c>
      <c r="L31" s="21"/>
    </row>
    <row r="32" spans="1:12" ht="12.75">
      <c r="A32" s="23" t="s">
        <v>49</v>
      </c>
      <c r="B32" s="32" t="s">
        <v>3</v>
      </c>
      <c r="C32" s="9">
        <v>104700</v>
      </c>
      <c r="D32" s="9">
        <v>90000</v>
      </c>
      <c r="E32" s="29">
        <f>D32/D47*E47</f>
        <v>96157.61890603583</v>
      </c>
      <c r="F32" s="9">
        <v>90000</v>
      </c>
      <c r="G32" s="51">
        <f>F32/F53*G49</f>
        <v>97.43764788022186</v>
      </c>
      <c r="H32" s="52">
        <f>ROUND(G32*G52,1)</f>
        <v>94.6</v>
      </c>
      <c r="I32" s="69"/>
      <c r="J32" s="51">
        <f>H32/H53*J49</f>
        <v>102.1745049040024</v>
      </c>
      <c r="K32" s="52">
        <f>ROUND(J32*J52,1)</f>
        <v>97.1</v>
      </c>
      <c r="L32" s="21"/>
    </row>
    <row r="33" spans="1:12" ht="12.75">
      <c r="A33" s="23" t="s">
        <v>50</v>
      </c>
      <c r="B33" s="32" t="s">
        <v>4</v>
      </c>
      <c r="C33" s="9">
        <v>711184</v>
      </c>
      <c r="D33" s="9">
        <v>500000</v>
      </c>
      <c r="E33" s="29">
        <f>D33/D47*E47</f>
        <v>534208.9939224212</v>
      </c>
      <c r="F33" s="9">
        <f>535000-100000</f>
        <v>435000</v>
      </c>
      <c r="G33" s="51">
        <f>F33/F53*G49</f>
        <v>470.9486314210724</v>
      </c>
      <c r="H33" s="52">
        <f>ROUND(G33*G52,1)</f>
        <v>457.4</v>
      </c>
      <c r="I33" s="69"/>
      <c r="J33" s="51">
        <f>H33/H53*J49</f>
        <v>494.0234518297114</v>
      </c>
      <c r="K33" s="52">
        <f>ROUND(J33*J52,1)</f>
        <v>469.5</v>
      </c>
      <c r="L33" s="21"/>
    </row>
    <row r="34" spans="1:12" ht="12.75">
      <c r="A34" s="23" t="s">
        <v>51</v>
      </c>
      <c r="B34" s="32" t="s">
        <v>52</v>
      </c>
      <c r="C34" s="9">
        <v>20000</v>
      </c>
      <c r="D34" s="9"/>
      <c r="E34" s="29"/>
      <c r="F34" s="9"/>
      <c r="G34" s="51"/>
      <c r="H34" s="52"/>
      <c r="I34" s="69"/>
      <c r="J34" s="51"/>
      <c r="K34" s="52"/>
      <c r="L34" s="21"/>
    </row>
    <row r="35" spans="1:12" ht="12.75">
      <c r="A35" s="23" t="s">
        <v>64</v>
      </c>
      <c r="B35" s="32" t="s">
        <v>5</v>
      </c>
      <c r="C35" s="9">
        <v>5783200</v>
      </c>
      <c r="D35" s="9">
        <v>5783200</v>
      </c>
      <c r="E35" s="29">
        <f>D35/D47*E47</f>
        <v>6178874.9073042935</v>
      </c>
      <c r="F35" s="9">
        <v>6179000</v>
      </c>
      <c r="G35" s="51">
        <f>F35/F53*G49</f>
        <v>6689.635847243231</v>
      </c>
      <c r="H35" s="52">
        <f>ROUND(G35*G52,1)</f>
        <v>6496.7</v>
      </c>
      <c r="I35" s="69"/>
      <c r="J35" s="51">
        <f>H35/H53*J49</f>
        <v>7016.882727376665</v>
      </c>
      <c r="K35" s="52">
        <f>ROUND(J35*J52,1)</f>
        <v>6669</v>
      </c>
      <c r="L35" s="21"/>
    </row>
    <row r="36" spans="1:12" ht="12.75">
      <c r="A36" s="23" t="s">
        <v>65</v>
      </c>
      <c r="B36" s="32" t="s">
        <v>5</v>
      </c>
      <c r="C36" s="9">
        <v>326000</v>
      </c>
      <c r="D36" s="9"/>
      <c r="E36" s="29"/>
      <c r="F36" s="9">
        <v>10000</v>
      </c>
      <c r="G36" s="51">
        <f>F36/F53*G49</f>
        <v>10.82640532002465</v>
      </c>
      <c r="H36" s="52">
        <f>ROUND(G36*G52,1)</f>
        <v>10.5</v>
      </c>
      <c r="I36" s="69"/>
      <c r="J36" s="51">
        <f>H36/H53*J49</f>
        <v>11.340722003086949</v>
      </c>
      <c r="K36" s="52">
        <f>ROUND(J36*J52,1)</f>
        <v>10.8</v>
      </c>
      <c r="L36" s="21"/>
    </row>
    <row r="37" spans="1:12" ht="12.75">
      <c r="A37" s="23" t="s">
        <v>6</v>
      </c>
      <c r="B37" s="32" t="s">
        <v>6</v>
      </c>
      <c r="C37" s="9">
        <v>112200</v>
      </c>
      <c r="D37" s="9">
        <v>112200</v>
      </c>
      <c r="E37" s="29">
        <f>D37/D47*E47</f>
        <v>119876.49823619134</v>
      </c>
      <c r="F37" s="9">
        <v>120000</v>
      </c>
      <c r="G37" s="51">
        <f>F37/F53*G49</f>
        <v>129.9168638402958</v>
      </c>
      <c r="H37" s="52">
        <f>ROUND(G37*G52,1)</f>
        <v>126.2</v>
      </c>
      <c r="I37" s="69"/>
      <c r="J37" s="51">
        <f>H37/H53*J49</f>
        <v>136.30467778948312</v>
      </c>
      <c r="K37" s="52">
        <f>ROUND(J37*J52,1)</f>
        <v>129.5</v>
      </c>
      <c r="L37" s="21"/>
    </row>
    <row r="38" spans="1:12" ht="12.75">
      <c r="A38" s="23" t="s">
        <v>62</v>
      </c>
      <c r="B38" s="32" t="s">
        <v>7</v>
      </c>
      <c r="C38" s="9">
        <v>2435200</v>
      </c>
      <c r="D38" s="9">
        <v>2435200</v>
      </c>
      <c r="E38" s="29">
        <f>D38/D47*E47</f>
        <v>2601811.483999761</v>
      </c>
      <c r="F38" s="9">
        <v>2602000</v>
      </c>
      <c r="G38" s="51">
        <f>F38/F53*G49</f>
        <v>2817.030664270414</v>
      </c>
      <c r="H38" s="52">
        <f>ROUND(G38*G52,1)</f>
        <v>2735.8</v>
      </c>
      <c r="I38" s="69"/>
      <c r="J38" s="51">
        <f>H38/H53*J49</f>
        <v>2954.8521196233596</v>
      </c>
      <c r="K38" s="52">
        <f>ROUND(J38*J52,1)</f>
        <v>2808.3</v>
      </c>
      <c r="L38" s="21"/>
    </row>
    <row r="39" spans="1:12" ht="12.75">
      <c r="A39" s="23" t="s">
        <v>63</v>
      </c>
      <c r="B39" s="32" t="s">
        <v>7</v>
      </c>
      <c r="C39" s="9">
        <v>399000</v>
      </c>
      <c r="D39" s="9"/>
      <c r="E39" s="29"/>
      <c r="F39" s="9">
        <v>10000</v>
      </c>
      <c r="G39" s="51">
        <f>F39/F53*G49</f>
        <v>10.82640532002465</v>
      </c>
      <c r="H39" s="52">
        <f>ROUND(G39*G52,1)</f>
        <v>10.5</v>
      </c>
      <c r="I39" s="69"/>
      <c r="J39" s="51">
        <f>H39/H53*J49</f>
        <v>11.340722003086949</v>
      </c>
      <c r="K39" s="52">
        <f>ROUND(J39*J52,1)</f>
        <v>10.8</v>
      </c>
      <c r="L39" s="21"/>
    </row>
    <row r="40" spans="1:12" ht="12.75">
      <c r="A40" s="23" t="s">
        <v>53</v>
      </c>
      <c r="B40" s="32" t="s">
        <v>54</v>
      </c>
      <c r="C40" s="9">
        <v>20000</v>
      </c>
      <c r="D40" s="9">
        <v>20000</v>
      </c>
      <c r="E40" s="29">
        <f>D40/D47*E47</f>
        <v>21368.35975689685</v>
      </c>
      <c r="F40" s="9">
        <v>21000</v>
      </c>
      <c r="G40" s="51">
        <f>F40/F53*G49</f>
        <v>22.735451172051768</v>
      </c>
      <c r="H40" s="52">
        <f>ROUND(G40*G52,1)</f>
        <v>22.1</v>
      </c>
      <c r="I40" s="69"/>
      <c r="J40" s="51">
        <f>H40/H53*J49</f>
        <v>23.86951964459253</v>
      </c>
      <c r="K40" s="52">
        <f>ROUND(J40*J52,1)</f>
        <v>22.7</v>
      </c>
      <c r="L40" s="21"/>
    </row>
    <row r="41" spans="1:12" ht="12.75">
      <c r="A41" s="23" t="s">
        <v>61</v>
      </c>
      <c r="B41" s="32" t="s">
        <v>71</v>
      </c>
      <c r="C41" s="9"/>
      <c r="D41" s="9"/>
      <c r="E41" s="29"/>
      <c r="F41" s="9">
        <v>60000</v>
      </c>
      <c r="G41" s="51">
        <f>F41/F53*G49</f>
        <v>64.9584319201479</v>
      </c>
      <c r="H41" s="52">
        <f>ROUND(G41*G52,1)-0.1</f>
        <v>63</v>
      </c>
      <c r="I41" s="69"/>
      <c r="J41" s="51">
        <f>H41/H53*J49</f>
        <v>68.04433201852169</v>
      </c>
      <c r="K41" s="52">
        <f>ROUND(J41*J52,1)</f>
        <v>64.7</v>
      </c>
      <c r="L41" s="21"/>
    </row>
    <row r="42" spans="1:12" ht="12.75">
      <c r="A42" s="23" t="s">
        <v>55</v>
      </c>
      <c r="B42" s="32" t="s">
        <v>56</v>
      </c>
      <c r="C42" s="9">
        <v>22000</v>
      </c>
      <c r="D42" s="9"/>
      <c r="E42" s="29"/>
      <c r="F42" s="9"/>
      <c r="G42" s="51"/>
      <c r="H42" s="52"/>
      <c r="I42" s="69"/>
      <c r="J42" s="51"/>
      <c r="K42" s="52"/>
      <c r="L42" s="21"/>
    </row>
    <row r="43" spans="1:12" ht="12.75">
      <c r="A43" s="23" t="s">
        <v>55</v>
      </c>
      <c r="B43" s="32" t="s">
        <v>57</v>
      </c>
      <c r="C43" s="9">
        <v>50754</v>
      </c>
      <c r="D43" s="9"/>
      <c r="E43" s="29"/>
      <c r="F43" s="9"/>
      <c r="G43" s="51"/>
      <c r="H43" s="52"/>
      <c r="I43" s="69"/>
      <c r="J43" s="51"/>
      <c r="K43" s="52"/>
      <c r="L43" s="21"/>
    </row>
    <row r="44" spans="1:12" ht="12.75">
      <c r="A44" s="23" t="s">
        <v>11</v>
      </c>
      <c r="B44" s="32" t="s">
        <v>58</v>
      </c>
      <c r="C44" s="9">
        <v>36300</v>
      </c>
      <c r="D44" s="9">
        <v>36300</v>
      </c>
      <c r="E44" s="29">
        <f>D44/D47*E47</f>
        <v>38783.572958767785</v>
      </c>
      <c r="F44" s="9">
        <v>40000</v>
      </c>
      <c r="G44" s="51">
        <f>ROUND(SUM(G4:G43)*0.025,1)</f>
        <v>630.1</v>
      </c>
      <c r="H44" s="52">
        <f>G44</f>
        <v>630.1</v>
      </c>
      <c r="I44" s="61">
        <f>ROUND(SUM(I4:I43)*0.025,1)</f>
        <v>0</v>
      </c>
      <c r="J44" s="51">
        <f>ROUND(SUM(J4:J43)*0.05,1)</f>
        <v>1321</v>
      </c>
      <c r="K44" s="52">
        <f>J44</f>
        <v>1321</v>
      </c>
      <c r="L44" s="46">
        <f>ROUND(SUM(L4:L43)*0.025,1)</f>
        <v>0</v>
      </c>
    </row>
    <row r="45" spans="1:23" ht="12.75">
      <c r="A45" s="23" t="s">
        <v>59</v>
      </c>
      <c r="B45" s="32" t="s">
        <v>60</v>
      </c>
      <c r="C45" s="9">
        <v>592846</v>
      </c>
      <c r="D45" s="39"/>
      <c r="E45" s="29"/>
      <c r="F45" s="9"/>
      <c r="G45" s="53"/>
      <c r="H45" s="54"/>
      <c r="I45" s="55"/>
      <c r="J45" s="53"/>
      <c r="K45" s="54"/>
      <c r="L45" s="47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>
      <c r="A46" s="13" t="s">
        <v>12</v>
      </c>
      <c r="B46" s="35"/>
      <c r="C46" s="9"/>
      <c r="D46" s="9"/>
      <c r="E46" s="29"/>
      <c r="F46" s="9"/>
      <c r="G46" s="60"/>
      <c r="H46" s="55"/>
      <c r="I46" s="54"/>
      <c r="J46" s="60"/>
      <c r="K46" s="55"/>
      <c r="L46" s="4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s="4" customFormat="1" ht="12.75">
      <c r="A47" s="16"/>
      <c r="B47" s="36"/>
      <c r="C47" s="10">
        <f>SUM(C4:C46)</f>
        <v>28405193.009999998</v>
      </c>
      <c r="D47" s="10">
        <f>SUM(D4:D46)</f>
        <v>21474835</v>
      </c>
      <c r="E47" s="30">
        <v>22944100</v>
      </c>
      <c r="F47" s="10">
        <f aca="true" t="shared" si="0" ref="F47:L47">SUM(F4:F46)</f>
        <v>23242900</v>
      </c>
      <c r="G47" s="65">
        <f>SUM(G4:G46)</f>
        <v>25835.407009037663</v>
      </c>
      <c r="H47" s="56">
        <f t="shared" si="0"/>
        <v>25120.3</v>
      </c>
      <c r="I47" s="56">
        <f t="shared" si="0"/>
        <v>0</v>
      </c>
      <c r="J47" s="65">
        <f t="shared" si="0"/>
        <v>27740.599917518015</v>
      </c>
      <c r="K47" s="56">
        <f t="shared" si="0"/>
        <v>26451.099999999995</v>
      </c>
      <c r="L47" s="73">
        <f t="shared" si="0"/>
        <v>0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2.75">
      <c r="A48" s="13" t="s">
        <v>12</v>
      </c>
      <c r="B48" s="35"/>
      <c r="C48" s="9"/>
      <c r="D48" s="9"/>
      <c r="E48" s="29"/>
      <c r="F48" s="9"/>
      <c r="G48" s="57"/>
      <c r="H48" s="58"/>
      <c r="I48" s="58"/>
      <c r="J48" s="57"/>
      <c r="K48" s="58"/>
      <c r="L48" s="43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>
      <c r="A49" s="13"/>
      <c r="B49" s="35"/>
      <c r="C49" s="9"/>
      <c r="D49" s="9"/>
      <c r="E49" s="38">
        <f>SUM(E4:E45)</f>
        <v>22944099.999999996</v>
      </c>
      <c r="F49" s="63">
        <f>E47+F11+F13</f>
        <v>23242900</v>
      </c>
      <c r="G49" s="67">
        <f>24712+G11+G13</f>
        <v>25120.399999999998</v>
      </c>
      <c r="H49" s="68" t="s">
        <v>82</v>
      </c>
      <c r="I49" s="59">
        <v>24712000</v>
      </c>
      <c r="J49" s="67">
        <f>26041.5+J11+J13</f>
        <v>26451.1</v>
      </c>
      <c r="K49" s="68" t="s">
        <v>82</v>
      </c>
      <c r="L49" s="44">
        <v>26041500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>
      <c r="A50" s="13"/>
      <c r="B50" s="35"/>
      <c r="C50" s="9"/>
      <c r="D50" s="9"/>
      <c r="E50" s="29">
        <f>E47-E49</f>
        <v>0</v>
      </c>
      <c r="F50" s="9">
        <f>F47-F49</f>
        <v>0</v>
      </c>
      <c r="G50" s="9">
        <f>G47-G49</f>
        <v>715.0070090376648</v>
      </c>
      <c r="H50" s="58">
        <f>H47-G49</f>
        <v>-0.09999999999854481</v>
      </c>
      <c r="I50" s="58"/>
      <c r="J50" s="9">
        <f>J47-J49</f>
        <v>1289.4999175180164</v>
      </c>
      <c r="K50" s="58">
        <f>K47-J49</f>
        <v>0</v>
      </c>
      <c r="L50" s="43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>
      <c r="A51" s="13"/>
      <c r="B51" s="35"/>
      <c r="C51" s="9"/>
      <c r="D51" s="9"/>
      <c r="E51" s="29"/>
      <c r="F51" s="9"/>
      <c r="G51" s="60"/>
      <c r="H51" s="54"/>
      <c r="I51" s="71"/>
      <c r="J51" s="60"/>
      <c r="K51" s="54"/>
      <c r="L51" s="45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12" ht="12.75">
      <c r="A52" s="13"/>
      <c r="B52" s="35"/>
      <c r="C52" s="11"/>
      <c r="D52" s="11"/>
      <c r="E52" s="29">
        <f>E47/D47</f>
        <v>1.0684179878448425</v>
      </c>
      <c r="F52" s="9"/>
      <c r="G52" s="121">
        <v>0.97116</v>
      </c>
      <c r="H52" s="122"/>
      <c r="I52" s="72"/>
      <c r="J52" s="121">
        <v>0.9504187</v>
      </c>
      <c r="K52" s="123"/>
      <c r="L52" s="14"/>
    </row>
    <row r="53" spans="1:12" ht="12.75">
      <c r="A53" s="15"/>
      <c r="B53" s="37"/>
      <c r="C53" s="12"/>
      <c r="D53" s="12"/>
      <c r="E53" s="48" t="s">
        <v>83</v>
      </c>
      <c r="F53" s="48">
        <f>SUM(F4:F43)</f>
        <v>23202900</v>
      </c>
      <c r="G53" s="48" t="s">
        <v>83</v>
      </c>
      <c r="H53" s="74">
        <f>H47-H44</f>
        <v>24490.2</v>
      </c>
      <c r="I53" s="62"/>
      <c r="J53" s="66"/>
      <c r="K53" s="62"/>
      <c r="L53" s="17"/>
    </row>
    <row r="54" spans="1:6" ht="12.75">
      <c r="A54" s="2"/>
      <c r="B54" s="27"/>
      <c r="C54" s="26"/>
      <c r="D54" s="26"/>
      <c r="E54" s="3"/>
      <c r="F54" s="3"/>
    </row>
    <row r="55" spans="1:6" s="4" customFormat="1" ht="25.5">
      <c r="A55" s="81"/>
      <c r="B55" s="81"/>
      <c r="C55" s="75" t="s">
        <v>96</v>
      </c>
      <c r="D55" s="75" t="s">
        <v>99</v>
      </c>
      <c r="E55" s="94" t="s">
        <v>107</v>
      </c>
      <c r="F55" s="75"/>
    </row>
    <row r="56" spans="1:23" ht="12.75">
      <c r="A56" s="78" t="s">
        <v>0</v>
      </c>
      <c r="B56" s="78" t="s">
        <v>86</v>
      </c>
      <c r="C56" s="79">
        <v>971</v>
      </c>
      <c r="D56" s="79">
        <f>53059.6*19/1000</f>
        <v>1008.1324000000001</v>
      </c>
      <c r="E56" s="79">
        <v>1008200</v>
      </c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ht="12.75">
      <c r="A57" s="78" t="s">
        <v>0</v>
      </c>
      <c r="B57" s="78" t="s">
        <v>87</v>
      </c>
      <c r="C57" s="79">
        <v>211.5</v>
      </c>
      <c r="D57" s="79">
        <f>D56*0.22</f>
        <v>221.789128</v>
      </c>
      <c r="E57" s="79">
        <v>221800</v>
      </c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6" s="4" customFormat="1" ht="12.75">
      <c r="A58" s="81" t="s">
        <v>95</v>
      </c>
      <c r="B58" s="81"/>
      <c r="C58" s="75">
        <f>SUM(C56:C57)</f>
        <v>1182.5</v>
      </c>
      <c r="D58" s="75">
        <f>SUM(D56:D57)</f>
        <v>1229.921528</v>
      </c>
      <c r="E58" s="75">
        <f>SUM(E56:E57)</f>
        <v>1230000</v>
      </c>
      <c r="F58" s="75">
        <f>E58/1000-D58</f>
        <v>0.07847199999991972</v>
      </c>
    </row>
    <row r="59" spans="1:23" ht="12.75">
      <c r="A59" s="82" t="s">
        <v>1</v>
      </c>
      <c r="B59" s="82" t="s">
        <v>86</v>
      </c>
      <c r="C59" s="76">
        <v>5627.4</v>
      </c>
      <c r="D59" s="76">
        <f>285000*19/1000</f>
        <v>5415</v>
      </c>
      <c r="E59" s="76">
        <v>5415000</v>
      </c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82" t="s">
        <v>1</v>
      </c>
      <c r="B60" s="82" t="s">
        <v>88</v>
      </c>
      <c r="C60" s="76">
        <v>2</v>
      </c>
      <c r="D60" s="76">
        <v>5</v>
      </c>
      <c r="E60" s="76">
        <v>5000</v>
      </c>
      <c r="F60" s="76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82" t="s">
        <v>1</v>
      </c>
      <c r="B61" s="82" t="s">
        <v>87</v>
      </c>
      <c r="C61" s="76">
        <v>1510</v>
      </c>
      <c r="D61" s="76">
        <f>D59*0.3</f>
        <v>1624.5</v>
      </c>
      <c r="E61" s="76">
        <v>1624500</v>
      </c>
      <c r="F61" s="76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82" t="s">
        <v>1</v>
      </c>
      <c r="B62" s="82" t="s">
        <v>89</v>
      </c>
      <c r="C62" s="76">
        <v>69</v>
      </c>
      <c r="D62" s="76">
        <v>69</v>
      </c>
      <c r="E62" s="76">
        <v>72000</v>
      </c>
      <c r="F62" s="76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82" t="s">
        <v>1</v>
      </c>
      <c r="B63" s="82" t="s">
        <v>90</v>
      </c>
      <c r="C63" s="76">
        <v>45</v>
      </c>
      <c r="D63" s="76">
        <v>45</v>
      </c>
      <c r="E63" s="76">
        <v>70000</v>
      </c>
      <c r="F63" s="76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82" t="s">
        <v>1</v>
      </c>
      <c r="B64" s="82" t="s">
        <v>91</v>
      </c>
      <c r="C64" s="76">
        <f>1.5+1.3</f>
        <v>2.8</v>
      </c>
      <c r="D64" s="76">
        <f>1.5+1.3</f>
        <v>2.8</v>
      </c>
      <c r="E64" s="76">
        <f>1500+1300</f>
        <v>2800</v>
      </c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82" t="s">
        <v>1</v>
      </c>
      <c r="B65" s="82" t="s">
        <v>92</v>
      </c>
      <c r="C65" s="76">
        <v>5.3</v>
      </c>
      <c r="D65" s="76">
        <v>5.3</v>
      </c>
      <c r="E65" s="76">
        <v>10000</v>
      </c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82" t="s">
        <v>1</v>
      </c>
      <c r="B66" s="82" t="s">
        <v>93</v>
      </c>
      <c r="C66" s="76">
        <v>253.2</v>
      </c>
      <c r="D66" s="76">
        <v>253.2</v>
      </c>
      <c r="E66" s="76">
        <v>328500</v>
      </c>
      <c r="F66" s="76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6" s="4" customFormat="1" ht="12.75">
      <c r="A67" s="81" t="s">
        <v>94</v>
      </c>
      <c r="B67" s="81"/>
      <c r="C67" s="75">
        <f>SUM(C59:C66)</f>
        <v>7514.7</v>
      </c>
      <c r="D67" s="75">
        <f>SUM(D59:D66)</f>
        <v>7419.8</v>
      </c>
      <c r="E67" s="75">
        <f>SUM(E59:E66)</f>
        <v>7527800</v>
      </c>
      <c r="F67" s="75">
        <f>E67/1000-D67</f>
        <v>108</v>
      </c>
    </row>
    <row r="68" spans="1:6" s="91" customFormat="1" ht="12.75">
      <c r="A68" s="89" t="s">
        <v>103</v>
      </c>
      <c r="B68" s="89"/>
      <c r="C68" s="90">
        <f>C58+C67</f>
        <v>8697.2</v>
      </c>
      <c r="D68" s="90">
        <f>D58+D67</f>
        <v>8649.721528</v>
      </c>
      <c r="E68" s="90">
        <f>E58+E67</f>
        <v>8757800</v>
      </c>
      <c r="F68" s="90"/>
    </row>
    <row r="69" spans="1:6" s="87" customFormat="1" ht="12.75">
      <c r="A69" s="85" t="s">
        <v>104</v>
      </c>
      <c r="B69" s="85"/>
      <c r="C69" s="86"/>
      <c r="D69" s="86">
        <v>8757.8</v>
      </c>
      <c r="E69" s="86">
        <v>8757800</v>
      </c>
      <c r="F69" s="86"/>
    </row>
    <row r="70" spans="1:6" s="87" customFormat="1" ht="12.75">
      <c r="A70" s="92" t="s">
        <v>105</v>
      </c>
      <c r="B70" s="92"/>
      <c r="C70" s="93"/>
      <c r="D70" s="93">
        <f>D69-D68</f>
        <v>108.07847199999924</v>
      </c>
      <c r="E70" s="93">
        <f>E69-E68</f>
        <v>0</v>
      </c>
      <c r="F70" s="86"/>
    </row>
    <row r="71" spans="1:6" s="97" customFormat="1" ht="12.75">
      <c r="A71" s="95"/>
      <c r="B71" s="95"/>
      <c r="C71" s="96"/>
      <c r="D71" s="96"/>
      <c r="E71" s="96"/>
      <c r="F71" s="96"/>
    </row>
    <row r="72" spans="1:23" ht="12.75">
      <c r="A72" s="81" t="s">
        <v>97</v>
      </c>
      <c r="B72" s="82" t="s">
        <v>90</v>
      </c>
      <c r="C72" s="76"/>
      <c r="D72" s="76">
        <f>(335916+114055)/1000</f>
        <v>449.971</v>
      </c>
      <c r="E72" s="76">
        <f>345050+114055+40895</f>
        <v>500000</v>
      </c>
      <c r="F72" s="7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83" t="s">
        <v>108</v>
      </c>
      <c r="B73" s="82"/>
      <c r="C73" s="76"/>
      <c r="D73" s="76"/>
      <c r="E73" s="76"/>
      <c r="F73" s="7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83" t="s">
        <v>100</v>
      </c>
      <c r="B74" s="82"/>
      <c r="C74" s="76"/>
      <c r="D74" s="76"/>
      <c r="E74" s="76"/>
      <c r="F74" s="7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82"/>
      <c r="B75" s="82"/>
      <c r="C75" s="76"/>
      <c r="D75" s="76"/>
      <c r="E75" s="76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82" t="s">
        <v>98</v>
      </c>
      <c r="B76" s="82"/>
      <c r="C76" s="84"/>
      <c r="D76" s="84">
        <f>D69+D72</f>
        <v>9207.770999999999</v>
      </c>
      <c r="E76" s="84">
        <f>E69+E72</f>
        <v>9257800</v>
      </c>
      <c r="F76" s="84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82"/>
      <c r="B77" s="82"/>
      <c r="C77" s="84"/>
      <c r="D77" s="84"/>
      <c r="E77" s="76"/>
      <c r="F77" s="7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77"/>
      <c r="B78" s="77"/>
      <c r="C78" s="84"/>
      <c r="D78" s="84"/>
      <c r="E78" s="84">
        <f>('10.10.2012'!F4+'10.10.2012'!F5)/1000</f>
        <v>9292</v>
      </c>
      <c r="F78" s="84">
        <f>E76/1000-E78</f>
        <v>-34.20000000000073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77"/>
      <c r="B79" s="77"/>
      <c r="C79" s="84"/>
      <c r="D79" s="84"/>
      <c r="E79" s="84"/>
      <c r="F79" s="84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77"/>
      <c r="B80" s="77"/>
      <c r="C80" s="84"/>
      <c r="D80" s="84"/>
      <c r="E80" s="84"/>
      <c r="F80" s="84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77"/>
      <c r="B81" s="77"/>
      <c r="C81" s="84"/>
      <c r="D81" s="84"/>
      <c r="E81" s="84"/>
      <c r="F81" s="84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77"/>
      <c r="B82" s="77"/>
      <c r="C82" s="84"/>
      <c r="D82" s="84"/>
      <c r="E82" s="84"/>
      <c r="F82" s="84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1:23" ht="12.75">
      <c r="A83" s="77"/>
      <c r="B83" s="77"/>
      <c r="C83" s="84"/>
      <c r="D83" s="84"/>
      <c r="E83" s="84"/>
      <c r="F83" s="84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>
      <c r="A84" s="77"/>
      <c r="B84" s="77"/>
      <c r="C84" s="84"/>
      <c r="D84" s="84"/>
      <c r="E84" s="84"/>
      <c r="F84" s="84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>
      <c r="A85" s="77"/>
      <c r="B85" s="77"/>
      <c r="C85" s="84"/>
      <c r="D85" s="84"/>
      <c r="E85" s="84"/>
      <c r="F85" s="84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2.75">
      <c r="A86" s="77"/>
      <c r="B86" s="77"/>
      <c r="C86" s="84"/>
      <c r="D86" s="84"/>
      <c r="E86" s="84"/>
      <c r="F86" s="84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3" ht="12.75">
      <c r="A87" s="77"/>
      <c r="B87" s="77"/>
      <c r="C87" s="84"/>
      <c r="D87" s="84"/>
      <c r="E87" s="84"/>
      <c r="F87" s="84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77"/>
      <c r="B88" s="77"/>
      <c r="C88" s="84"/>
      <c r="D88" s="84"/>
      <c r="E88" s="84"/>
      <c r="F88" s="84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77"/>
      <c r="B89" s="77"/>
      <c r="C89" s="84"/>
      <c r="D89" s="84"/>
      <c r="E89" s="84"/>
      <c r="F89" s="84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77"/>
      <c r="B90" s="77"/>
      <c r="C90" s="84"/>
      <c r="D90" s="84"/>
      <c r="E90" s="84"/>
      <c r="F90" s="84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ht="12.75">
      <c r="A91" s="77"/>
      <c r="B91" s="77"/>
      <c r="C91" s="84"/>
      <c r="D91" s="84"/>
      <c r="E91" s="84"/>
      <c r="F91" s="84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>
      <c r="A92" s="77"/>
      <c r="B92" s="77"/>
      <c r="C92" s="84"/>
      <c r="D92" s="84"/>
      <c r="E92" s="84"/>
      <c r="F92" s="84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ht="12.75">
      <c r="A93" s="77"/>
      <c r="B93" s="77"/>
      <c r="C93" s="84"/>
      <c r="D93" s="84"/>
      <c r="E93" s="84"/>
      <c r="F93" s="84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1:23" ht="12.75">
      <c r="A94" s="77"/>
      <c r="B94" s="77"/>
      <c r="C94" s="84"/>
      <c r="D94" s="84"/>
      <c r="E94" s="84"/>
      <c r="F94" s="84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2.75">
      <c r="A95" s="77"/>
      <c r="B95" s="77"/>
      <c r="C95" s="84"/>
      <c r="D95" s="84"/>
      <c r="E95" s="84"/>
      <c r="F95" s="84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1:23" ht="12.75">
      <c r="A96" s="77"/>
      <c r="B96" s="77"/>
      <c r="C96" s="84"/>
      <c r="D96" s="84"/>
      <c r="E96" s="84"/>
      <c r="F96" s="84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1:23" ht="12.75">
      <c r="A97" s="77"/>
      <c r="B97" s="77"/>
      <c r="C97" s="84"/>
      <c r="D97" s="84"/>
      <c r="E97" s="84"/>
      <c r="F97" s="84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1:23" ht="12.75">
      <c r="A98" s="77"/>
      <c r="B98" s="77"/>
      <c r="C98" s="84"/>
      <c r="D98" s="84"/>
      <c r="E98" s="84"/>
      <c r="F98" s="84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1:23" ht="12.75">
      <c r="A99" s="77"/>
      <c r="B99" s="77"/>
      <c r="C99" s="84"/>
      <c r="D99" s="84"/>
      <c r="E99" s="84"/>
      <c r="F99" s="84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1:23" ht="12.75">
      <c r="A100" s="77"/>
      <c r="B100" s="77"/>
      <c r="C100" s="84"/>
      <c r="D100" s="84"/>
      <c r="E100" s="84"/>
      <c r="F100" s="84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3" ht="12.75">
      <c r="A101" s="77"/>
      <c r="B101" s="77"/>
      <c r="C101" s="84"/>
      <c r="D101" s="84"/>
      <c r="E101" s="84"/>
      <c r="F101" s="84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1:23" ht="12.75">
      <c r="A102" s="77"/>
      <c r="B102" s="77"/>
      <c r="C102" s="84"/>
      <c r="D102" s="84"/>
      <c r="E102" s="84"/>
      <c r="F102" s="84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1:23" ht="12.75">
      <c r="A103" s="77"/>
      <c r="B103" s="77"/>
      <c r="C103" s="84"/>
      <c r="D103" s="84"/>
      <c r="E103" s="84"/>
      <c r="F103" s="84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1:23" ht="12.75">
      <c r="A104" s="77"/>
      <c r="B104" s="77"/>
      <c r="C104" s="84"/>
      <c r="D104" s="84"/>
      <c r="E104" s="84"/>
      <c r="F104" s="84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1:23" ht="12.75">
      <c r="A105" s="77"/>
      <c r="B105" s="77"/>
      <c r="C105" s="84"/>
      <c r="D105" s="84"/>
      <c r="E105" s="84"/>
      <c r="F105" s="84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23" ht="12.75">
      <c r="A106" s="77"/>
      <c r="B106" s="77"/>
      <c r="C106" s="84"/>
      <c r="D106" s="84"/>
      <c r="E106" s="84"/>
      <c r="F106" s="84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1:23" ht="12.75">
      <c r="A107" s="77"/>
      <c r="B107" s="77"/>
      <c r="C107" s="84"/>
      <c r="D107" s="84"/>
      <c r="E107" s="84"/>
      <c r="F107" s="8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1:23" ht="12.75">
      <c r="A108" s="77"/>
      <c r="B108" s="77"/>
      <c r="C108" s="84"/>
      <c r="D108" s="84"/>
      <c r="E108" s="84"/>
      <c r="F108" s="8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1:23" ht="12.75">
      <c r="A109" s="77"/>
      <c r="B109" s="77"/>
      <c r="C109" s="84"/>
      <c r="D109" s="84"/>
      <c r="E109" s="84"/>
      <c r="F109" s="8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1:23" ht="12.75">
      <c r="A110" s="77"/>
      <c r="B110" s="77"/>
      <c r="C110" s="84"/>
      <c r="D110" s="84"/>
      <c r="E110" s="84"/>
      <c r="F110" s="8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1:23" ht="12.75">
      <c r="A111" s="77"/>
      <c r="B111" s="77"/>
      <c r="C111" s="84"/>
      <c r="D111" s="84"/>
      <c r="E111" s="84"/>
      <c r="F111" s="8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1:23" ht="12.75">
      <c r="A112" s="77"/>
      <c r="B112" s="77"/>
      <c r="C112" s="84"/>
      <c r="D112" s="84"/>
      <c r="E112" s="84"/>
      <c r="F112" s="8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1:23" ht="12.75">
      <c r="A113" s="77"/>
      <c r="B113" s="77"/>
      <c r="C113" s="84"/>
      <c r="D113" s="84"/>
      <c r="E113" s="84"/>
      <c r="F113" s="84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1:23" ht="12.75">
      <c r="A114" s="77"/>
      <c r="B114" s="77"/>
      <c r="C114" s="84"/>
      <c r="D114" s="84"/>
      <c r="E114" s="84"/>
      <c r="F114" s="84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1:23" ht="12.75">
      <c r="A115" s="77"/>
      <c r="B115" s="77"/>
      <c r="C115" s="84"/>
      <c r="D115" s="84"/>
      <c r="E115" s="84"/>
      <c r="F115" s="84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1:23" ht="12.75">
      <c r="A116" s="77"/>
      <c r="B116" s="77"/>
      <c r="C116" s="84"/>
      <c r="D116" s="84"/>
      <c r="E116" s="84"/>
      <c r="F116" s="84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1:23" ht="12.75">
      <c r="A117" s="77"/>
      <c r="B117" s="77"/>
      <c r="C117" s="84"/>
      <c r="D117" s="84"/>
      <c r="E117" s="84"/>
      <c r="F117" s="84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1:23" ht="12.75">
      <c r="A118" s="77"/>
      <c r="B118" s="77"/>
      <c r="C118" s="84"/>
      <c r="D118" s="84"/>
      <c r="E118" s="84"/>
      <c r="F118" s="84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1:23" ht="12.75">
      <c r="A119" s="77"/>
      <c r="B119" s="77"/>
      <c r="C119" s="84"/>
      <c r="D119" s="84"/>
      <c r="E119" s="84"/>
      <c r="F119" s="84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1:23" ht="12.75">
      <c r="A120" s="77"/>
      <c r="B120" s="77"/>
      <c r="C120" s="84"/>
      <c r="D120" s="84"/>
      <c r="E120" s="84"/>
      <c r="F120" s="84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2.75">
      <c r="A121" s="77"/>
      <c r="B121" s="77"/>
      <c r="C121" s="84"/>
      <c r="D121" s="84"/>
      <c r="E121" s="84"/>
      <c r="F121" s="84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1:23" ht="12.75">
      <c r="A122" s="77"/>
      <c r="B122" s="77"/>
      <c r="C122" s="84"/>
      <c r="D122" s="84"/>
      <c r="E122" s="84"/>
      <c r="F122" s="84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1:23" ht="12.75">
      <c r="A123" s="77"/>
      <c r="B123" s="77"/>
      <c r="C123" s="84"/>
      <c r="D123" s="84"/>
      <c r="E123" s="84"/>
      <c r="F123" s="84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77"/>
      <c r="B124" s="77"/>
      <c r="C124" s="84"/>
      <c r="D124" s="84"/>
      <c r="E124" s="84"/>
      <c r="F124" s="84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77"/>
      <c r="B125" s="77"/>
      <c r="C125" s="84"/>
      <c r="D125" s="84"/>
      <c r="E125" s="84"/>
      <c r="F125" s="84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77"/>
      <c r="B126" s="77"/>
      <c r="C126" s="84"/>
      <c r="D126" s="84"/>
      <c r="E126" s="84"/>
      <c r="F126" s="84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77"/>
      <c r="B127" s="77"/>
      <c r="C127" s="84"/>
      <c r="D127" s="84"/>
      <c r="E127" s="84"/>
      <c r="F127" s="84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77"/>
      <c r="B128" s="77"/>
      <c r="C128" s="84"/>
      <c r="D128" s="84"/>
      <c r="E128" s="84"/>
      <c r="F128" s="84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ht="12.75">
      <c r="A129" s="77"/>
      <c r="B129" s="77"/>
      <c r="C129" s="84"/>
      <c r="D129" s="84"/>
      <c r="E129" s="84"/>
      <c r="F129" s="84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ht="12.75">
      <c r="A130" s="77"/>
      <c r="B130" s="77"/>
      <c r="C130" s="84"/>
      <c r="D130" s="84"/>
      <c r="E130" s="84"/>
      <c r="F130" s="84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2.75">
      <c r="A131" s="77"/>
      <c r="B131" s="77"/>
      <c r="C131" s="84"/>
      <c r="D131" s="84"/>
      <c r="E131" s="84"/>
      <c r="F131" s="84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2.75">
      <c r="A132" s="77"/>
      <c r="B132" s="77"/>
      <c r="C132" s="84"/>
      <c r="D132" s="84"/>
      <c r="E132" s="84"/>
      <c r="F132" s="84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2.75">
      <c r="A133" s="77"/>
      <c r="B133" s="77"/>
      <c r="C133" s="84"/>
      <c r="D133" s="84"/>
      <c r="E133" s="84"/>
      <c r="F133" s="84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ht="12.75">
      <c r="A134" s="77"/>
      <c r="B134" s="77"/>
      <c r="C134" s="84"/>
      <c r="D134" s="84"/>
      <c r="E134" s="84"/>
      <c r="F134" s="84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ht="12.75">
      <c r="A135" s="77"/>
      <c r="B135" s="77"/>
      <c r="C135" s="84"/>
      <c r="D135" s="84"/>
      <c r="E135" s="84"/>
      <c r="F135" s="84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</sheetData>
  <mergeCells count="9">
    <mergeCell ref="B1:B2"/>
    <mergeCell ref="C1:C2"/>
    <mergeCell ref="D1:D2"/>
    <mergeCell ref="G52:H52"/>
    <mergeCell ref="J52:K52"/>
    <mergeCell ref="E1:E2"/>
    <mergeCell ref="F1:F2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="80" zoomScaleNormal="8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7" sqref="A47"/>
    </sheetView>
  </sheetViews>
  <sheetFormatPr defaultColWidth="9.00390625" defaultRowHeight="12.75"/>
  <cols>
    <col min="1" max="1" width="20.75390625" style="0" customWidth="1"/>
    <col min="2" max="2" width="19.375" style="28" customWidth="1"/>
    <col min="3" max="4" width="14.00390625" style="1" customWidth="1"/>
    <col min="5" max="6" width="14.375" style="1" customWidth="1"/>
    <col min="7" max="8" width="9.75390625" style="0" customWidth="1"/>
    <col min="9" max="9" width="12.625" style="0" bestFit="1" customWidth="1"/>
    <col min="10" max="10" width="11.75390625" style="0" customWidth="1"/>
    <col min="11" max="11" width="10.375" style="0" customWidth="1"/>
    <col min="12" max="12" width="13.625" style="0" bestFit="1" customWidth="1"/>
  </cols>
  <sheetData>
    <row r="1" spans="1:12" s="5" customFormat="1" ht="15" customHeight="1">
      <c r="A1" s="108" t="s">
        <v>114</v>
      </c>
      <c r="B1" s="118"/>
      <c r="C1" s="120" t="s">
        <v>19</v>
      </c>
      <c r="D1" s="120" t="s">
        <v>73</v>
      </c>
      <c r="E1" s="124" t="s">
        <v>72</v>
      </c>
      <c r="F1" s="124" t="s">
        <v>106</v>
      </c>
      <c r="G1" s="125">
        <v>2014</v>
      </c>
      <c r="H1" s="126"/>
      <c r="I1" s="127"/>
      <c r="J1" s="128">
        <v>2015</v>
      </c>
      <c r="K1" s="129"/>
      <c r="L1" s="130"/>
    </row>
    <row r="2" spans="1:12" s="5" customFormat="1" ht="31.5" customHeight="1">
      <c r="A2" s="111" t="s">
        <v>116</v>
      </c>
      <c r="B2" s="119"/>
      <c r="C2" s="120"/>
      <c r="D2" s="120"/>
      <c r="E2" s="124"/>
      <c r="F2" s="124"/>
      <c r="G2" s="7" t="s">
        <v>8</v>
      </c>
      <c r="H2" s="6" t="s">
        <v>84</v>
      </c>
      <c r="I2" s="20" t="s">
        <v>18</v>
      </c>
      <c r="J2" s="7" t="s">
        <v>8</v>
      </c>
      <c r="K2" s="6" t="s">
        <v>85</v>
      </c>
      <c r="L2" s="20" t="s">
        <v>18</v>
      </c>
    </row>
    <row r="3" spans="1:12" s="2" customFormat="1" ht="12.75">
      <c r="A3" s="19" t="s">
        <v>14</v>
      </c>
      <c r="B3" s="31"/>
      <c r="C3" s="19">
        <v>2</v>
      </c>
      <c r="D3" s="19" t="s">
        <v>74</v>
      </c>
      <c r="E3" s="8" t="s">
        <v>75</v>
      </c>
      <c r="F3" s="8" t="s">
        <v>76</v>
      </c>
      <c r="G3" s="18" t="s">
        <v>79</v>
      </c>
      <c r="H3" s="18" t="s">
        <v>80</v>
      </c>
      <c r="I3" s="64" t="s">
        <v>81</v>
      </c>
      <c r="J3" s="18" t="s">
        <v>15</v>
      </c>
      <c r="K3" s="18" t="s">
        <v>16</v>
      </c>
      <c r="L3" s="18" t="s">
        <v>17</v>
      </c>
    </row>
    <row r="4" spans="1:12" ht="12.75">
      <c r="A4" s="23" t="s">
        <v>0</v>
      </c>
      <c r="B4" s="32"/>
      <c r="C4" s="25">
        <v>1182500</v>
      </c>
      <c r="D4" s="25">
        <v>1182500</v>
      </c>
      <c r="E4" s="29">
        <f>D4/D47*E47</f>
        <v>1263404.2706265263</v>
      </c>
      <c r="F4" s="9">
        <v>1230000</v>
      </c>
      <c r="G4" s="49">
        <f>F4/F53*G48</f>
        <v>1327.0881632546138</v>
      </c>
      <c r="H4" s="50">
        <f>ROUND(G4*G52,1)</f>
        <v>1292.9</v>
      </c>
      <c r="I4" s="70"/>
      <c r="J4" s="49">
        <f>H4/H53*J48</f>
        <v>1398.4546932824942</v>
      </c>
      <c r="K4" s="50">
        <f>ROUND(J4*J52,1)</f>
        <v>1326.8</v>
      </c>
      <c r="L4" s="22"/>
    </row>
    <row r="5" spans="1:12" ht="12.75">
      <c r="A5" s="23" t="s">
        <v>1</v>
      </c>
      <c r="B5" s="32"/>
      <c r="C5" s="9">
        <v>7514705.3</v>
      </c>
      <c r="D5" s="9">
        <v>7514705.3</v>
      </c>
      <c r="E5" s="29">
        <f>D5/D47*E47</f>
        <v>8028846.315872974</v>
      </c>
      <c r="F5" s="9">
        <v>7527800</v>
      </c>
      <c r="G5" s="51">
        <f>F5/F53*G48</f>
        <v>8121.995345811449</v>
      </c>
      <c r="H5" s="52">
        <f>ROUND(G5*G52,1)</f>
        <v>7912.8</v>
      </c>
      <c r="I5" s="69"/>
      <c r="J5" s="51">
        <f>H5/H53*J48</f>
        <v>8558.815296624425</v>
      </c>
      <c r="K5" s="52">
        <f>ROUND(J5*J52,1)</f>
        <v>8120.4</v>
      </c>
      <c r="L5" s="21"/>
    </row>
    <row r="6" spans="1:12" ht="12.75">
      <c r="A6" s="23" t="s">
        <v>109</v>
      </c>
      <c r="B6" s="88" t="s">
        <v>111</v>
      </c>
      <c r="C6" s="9"/>
      <c r="D6" s="9"/>
      <c r="E6" s="29"/>
      <c r="F6" s="9">
        <v>17100</v>
      </c>
      <c r="G6" s="51">
        <f>F6/F53*G48</f>
        <v>18.449762269637315</v>
      </c>
      <c r="H6" s="52">
        <f>ROUND(G6*G52,1)</f>
        <v>18</v>
      </c>
      <c r="I6" s="61"/>
      <c r="J6" s="51">
        <f>H6/H53*J48</f>
        <v>19.46955254009196</v>
      </c>
      <c r="K6" s="52">
        <f>ROUND(J6*J52,1)</f>
        <v>18.5</v>
      </c>
      <c r="L6" s="46"/>
    </row>
    <row r="7" spans="1:12" ht="12.75">
      <c r="A7" s="23" t="s">
        <v>110</v>
      </c>
      <c r="B7" s="88" t="s">
        <v>112</v>
      </c>
      <c r="C7" s="9"/>
      <c r="D7" s="9"/>
      <c r="E7" s="29"/>
      <c r="F7" s="9">
        <v>17100</v>
      </c>
      <c r="G7" s="51">
        <f>F7/F53*G48</f>
        <v>18.449762269637315</v>
      </c>
      <c r="H7" s="52">
        <f>ROUND(G7*G52,1)</f>
        <v>18</v>
      </c>
      <c r="I7" s="61"/>
      <c r="J7" s="51">
        <f>H7/H53*J48</f>
        <v>19.46955254009196</v>
      </c>
      <c r="K7" s="52">
        <f>ROUND(J7*J52,1)</f>
        <v>18.5</v>
      </c>
      <c r="L7" s="46"/>
    </row>
    <row r="8" spans="1:12" ht="12.75">
      <c r="A8" s="23" t="s">
        <v>20</v>
      </c>
      <c r="B8" s="98" t="s">
        <v>102</v>
      </c>
      <c r="C8" s="9">
        <v>14000</v>
      </c>
      <c r="D8" s="9">
        <v>14000</v>
      </c>
      <c r="E8" s="29">
        <f>D8/D47*E47</f>
        <v>14957.851829827798</v>
      </c>
      <c r="F8" s="9">
        <f>15000+100000</f>
        <v>115000</v>
      </c>
      <c r="G8" s="51">
        <f>F8/F53*G48</f>
        <v>124.07734859697608</v>
      </c>
      <c r="H8" s="52">
        <f>ROUND(G8*G52,1)</f>
        <v>120.9</v>
      </c>
      <c r="I8" s="69"/>
      <c r="J8" s="51">
        <f>H8/H53*J48</f>
        <v>130.770494560951</v>
      </c>
      <c r="K8" s="52">
        <f>ROUND(J8*J52,1)</f>
        <v>124.1</v>
      </c>
      <c r="L8" s="21"/>
    </row>
    <row r="9" spans="1:12" ht="12.75">
      <c r="A9" s="23" t="s">
        <v>69</v>
      </c>
      <c r="B9" s="32" t="s">
        <v>68</v>
      </c>
      <c r="C9" s="9">
        <v>120194.7</v>
      </c>
      <c r="D9" s="9">
        <v>120194.7</v>
      </c>
      <c r="E9" s="29">
        <f>D9/D47*E47</f>
        <v>128418.17952361448</v>
      </c>
      <c r="F9" s="9">
        <v>110000</v>
      </c>
      <c r="G9" s="51">
        <f>F9/F53*G48</f>
        <v>118.68268126667279</v>
      </c>
      <c r="H9" s="52">
        <f>ROUND(G9*G52,1)</f>
        <v>115.6</v>
      </c>
      <c r="I9" s="69"/>
      <c r="J9" s="51">
        <f>H9/H53*J48</f>
        <v>125.03779297970168</v>
      </c>
      <c r="K9" s="52">
        <f>ROUND(J9*J52,1)</f>
        <v>118.6</v>
      </c>
      <c r="L9" s="21"/>
    </row>
    <row r="10" spans="1:12" ht="12.75">
      <c r="A10" s="23" t="s">
        <v>21</v>
      </c>
      <c r="B10" s="32" t="s">
        <v>66</v>
      </c>
      <c r="C10" s="9">
        <v>485300</v>
      </c>
      <c r="D10" s="9">
        <v>485300</v>
      </c>
      <c r="E10" s="29">
        <f>D10/D47*E47</f>
        <v>518503.2495011021</v>
      </c>
      <c r="F10" s="9">
        <f>500000+500000</f>
        <v>1000000</v>
      </c>
      <c r="G10" s="51">
        <f>F10/F53*G48</f>
        <v>1078.9334660606617</v>
      </c>
      <c r="H10" s="52">
        <f>ROUND(G10*G52,1)</f>
        <v>1051.2</v>
      </c>
      <c r="I10" s="69"/>
      <c r="J10" s="51">
        <f>H10/H53*J48</f>
        <v>1137.0218683413702</v>
      </c>
      <c r="K10" s="52">
        <f>ROUND(J10*J52,1)</f>
        <v>1078.8</v>
      </c>
      <c r="L10" s="21"/>
    </row>
    <row r="11" spans="1:12" ht="12.75">
      <c r="A11" s="24" t="s">
        <v>23</v>
      </c>
      <c r="B11" s="99" t="s">
        <v>10</v>
      </c>
      <c r="C11" s="100">
        <v>399000</v>
      </c>
      <c r="D11" s="100"/>
      <c r="E11" s="101"/>
      <c r="F11" s="100">
        <v>282000</v>
      </c>
      <c r="G11" s="102">
        <v>391.6</v>
      </c>
      <c r="H11" s="103">
        <v>391.6</v>
      </c>
      <c r="I11" s="104"/>
      <c r="J11" s="102">
        <v>392.8</v>
      </c>
      <c r="K11" s="103">
        <v>392.8</v>
      </c>
      <c r="L11" s="105"/>
    </row>
    <row r="12" spans="1:12" ht="12.75">
      <c r="A12" s="24" t="s">
        <v>24</v>
      </c>
      <c r="B12" s="32" t="s">
        <v>22</v>
      </c>
      <c r="C12" s="9">
        <v>3000</v>
      </c>
      <c r="D12" s="39">
        <v>3000</v>
      </c>
      <c r="E12" s="29">
        <f>D12/D47*E47</f>
        <v>3205.2539635345274</v>
      </c>
      <c r="F12" s="9">
        <v>3000</v>
      </c>
      <c r="G12" s="51">
        <f>F12/F53*G48</f>
        <v>3.2368003981819853</v>
      </c>
      <c r="H12" s="52">
        <f>ROUND(G12*G52,1)</f>
        <v>3.2</v>
      </c>
      <c r="I12" s="69"/>
      <c r="J12" s="51">
        <f>H12/H53*J48</f>
        <v>3.461253784905237</v>
      </c>
      <c r="K12" s="52">
        <f>ROUND(J12*J52,1)</f>
        <v>3.3</v>
      </c>
      <c r="L12" s="21"/>
    </row>
    <row r="13" spans="1:12" ht="12.75">
      <c r="A13" s="24" t="s">
        <v>25</v>
      </c>
      <c r="B13" s="99" t="s">
        <v>9</v>
      </c>
      <c r="C13" s="100">
        <v>20000</v>
      </c>
      <c r="D13" s="100"/>
      <c r="E13" s="101"/>
      <c r="F13" s="100">
        <v>16800</v>
      </c>
      <c r="G13" s="102">
        <v>16.8</v>
      </c>
      <c r="H13" s="103">
        <v>16.8</v>
      </c>
      <c r="I13" s="104"/>
      <c r="J13" s="102">
        <v>16.8</v>
      </c>
      <c r="K13" s="103">
        <v>16.8</v>
      </c>
      <c r="L13" s="105"/>
    </row>
    <row r="14" spans="1:12" ht="12.75">
      <c r="A14" s="23" t="s">
        <v>26</v>
      </c>
      <c r="B14" s="32" t="s">
        <v>27</v>
      </c>
      <c r="C14" s="9">
        <v>603114</v>
      </c>
      <c r="D14" s="9">
        <v>603114</v>
      </c>
      <c r="E14" s="29">
        <f>D14/D47*E47</f>
        <v>644377.8463210544</v>
      </c>
      <c r="F14" s="9">
        <f>640000-50000</f>
        <v>590000</v>
      </c>
      <c r="G14" s="51">
        <f>F14/F53*G48</f>
        <v>636.5707449757904</v>
      </c>
      <c r="H14" s="52">
        <f>ROUND(G14*G52,1)</f>
        <v>620.2</v>
      </c>
      <c r="I14" s="69"/>
      <c r="J14" s="51">
        <f>H14/H53*J48</f>
        <v>670.8342491869463</v>
      </c>
      <c r="K14" s="52">
        <f>ROUND(J14*J52,1)</f>
        <v>636.5</v>
      </c>
      <c r="L14" s="21"/>
    </row>
    <row r="15" spans="1:12" ht="12.75">
      <c r="A15" s="23" t="s">
        <v>28</v>
      </c>
      <c r="B15" s="33" t="s">
        <v>29</v>
      </c>
      <c r="C15" s="9">
        <v>4000</v>
      </c>
      <c r="D15" s="39">
        <v>1000</v>
      </c>
      <c r="E15" s="29">
        <f>D15/D47*E47</f>
        <v>1068.4179878448426</v>
      </c>
      <c r="F15" s="9">
        <v>1000</v>
      </c>
      <c r="G15" s="51">
        <f>F15/F53*G48</f>
        <v>1.0789334660606615</v>
      </c>
      <c r="H15" s="52">
        <f>ROUND(G15*G52,1)</f>
        <v>1.1</v>
      </c>
      <c r="I15" s="69"/>
      <c r="J15" s="51">
        <f>H15/H53*J48</f>
        <v>1.1898059885611754</v>
      </c>
      <c r="K15" s="52">
        <f>ROUND(J15*J52,1)</f>
        <v>1.1</v>
      </c>
      <c r="L15" s="21"/>
    </row>
    <row r="16" spans="1:12" ht="12.75">
      <c r="A16" s="23" t="s">
        <v>30</v>
      </c>
      <c r="B16" s="32" t="s">
        <v>31</v>
      </c>
      <c r="C16" s="9">
        <v>190454.01</v>
      </c>
      <c r="D16" s="9"/>
      <c r="E16" s="29"/>
      <c r="F16" s="9"/>
      <c r="G16" s="51"/>
      <c r="H16" s="52"/>
      <c r="I16" s="69" t="s">
        <v>12</v>
      </c>
      <c r="J16" s="51"/>
      <c r="K16" s="52"/>
      <c r="L16" s="21"/>
    </row>
    <row r="17" spans="1:12" ht="12.75">
      <c r="A17" s="23" t="s">
        <v>32</v>
      </c>
      <c r="B17" s="32" t="s">
        <v>33</v>
      </c>
      <c r="C17" s="9">
        <v>641165</v>
      </c>
      <c r="D17" s="9">
        <v>641165</v>
      </c>
      <c r="E17" s="29">
        <f>D17/D47*E47</f>
        <v>685032.2191765385</v>
      </c>
      <c r="F17" s="9">
        <v>685000</v>
      </c>
      <c r="G17" s="51">
        <f>F17/F53*G48</f>
        <v>739.0694242515532</v>
      </c>
      <c r="H17" s="52">
        <f>ROUND(G17*G52,1)</f>
        <v>720</v>
      </c>
      <c r="I17" s="69"/>
      <c r="J17" s="51">
        <f>H17/H53*J48</f>
        <v>778.7821016036784</v>
      </c>
      <c r="K17" s="52">
        <f>ROUND(J17*J52,1)</f>
        <v>738.9</v>
      </c>
      <c r="L17" s="21"/>
    </row>
    <row r="18" spans="1:12" ht="45">
      <c r="A18" s="23"/>
      <c r="B18" s="106" t="s">
        <v>113</v>
      </c>
      <c r="C18" s="9"/>
      <c r="D18" s="9"/>
      <c r="E18" s="29"/>
      <c r="F18" s="9">
        <v>100000</v>
      </c>
      <c r="G18" s="51">
        <f>F18/F53*G48</f>
        <v>107.89334660606616</v>
      </c>
      <c r="H18" s="52">
        <f>ROUND(G18*G52,1)</f>
        <v>105.1</v>
      </c>
      <c r="I18" s="69"/>
      <c r="J18" s="51">
        <f>H18/H53*J48</f>
        <v>113.68055399798136</v>
      </c>
      <c r="K18" s="52">
        <f>ROUND(J18*J52,1)</f>
        <v>107.9</v>
      </c>
      <c r="L18" s="21"/>
    </row>
    <row r="19" spans="1:12" ht="12.75">
      <c r="A19" s="23"/>
      <c r="B19" s="32" t="s">
        <v>13</v>
      </c>
      <c r="C19" s="9"/>
      <c r="D19" s="9"/>
      <c r="E19" s="29"/>
      <c r="F19" s="9"/>
      <c r="G19" s="51"/>
      <c r="H19" s="52"/>
      <c r="I19" s="69"/>
      <c r="J19" s="51"/>
      <c r="K19" s="52"/>
      <c r="L19" s="21"/>
    </row>
    <row r="20" spans="1:12" ht="12.75">
      <c r="A20" s="23" t="s">
        <v>34</v>
      </c>
      <c r="B20" s="32" t="s">
        <v>67</v>
      </c>
      <c r="C20" s="9">
        <v>300860</v>
      </c>
      <c r="D20" s="9">
        <v>300860</v>
      </c>
      <c r="E20" s="29">
        <f>D20/D47*E47</f>
        <v>321444.2358229993</v>
      </c>
      <c r="F20" s="9">
        <v>322000</v>
      </c>
      <c r="G20" s="51">
        <f>F20/F53*G48</f>
        <v>347.41657607153303</v>
      </c>
      <c r="H20" s="52">
        <f>ROUND(G20*G52,1)</f>
        <v>338.5</v>
      </c>
      <c r="I20" s="69"/>
      <c r="J20" s="51">
        <f>H20/H53*J48</f>
        <v>366.1357519345071</v>
      </c>
      <c r="K20" s="52">
        <f>ROUND(J20*J52,1)</f>
        <v>347.4</v>
      </c>
      <c r="L20" s="21"/>
    </row>
    <row r="21" spans="1:12" ht="12.75">
      <c r="A21" s="23" t="s">
        <v>35</v>
      </c>
      <c r="B21" s="32" t="s">
        <v>36</v>
      </c>
      <c r="C21" s="9">
        <v>94800</v>
      </c>
      <c r="D21" s="9"/>
      <c r="E21" s="29"/>
      <c r="F21" s="9"/>
      <c r="G21" s="51"/>
      <c r="H21" s="52"/>
      <c r="I21" s="69"/>
      <c r="J21" s="51"/>
      <c r="K21" s="52"/>
      <c r="L21" s="21"/>
    </row>
    <row r="22" spans="1:12" ht="12.75">
      <c r="A22" s="23" t="s">
        <v>37</v>
      </c>
      <c r="B22" s="107" t="s">
        <v>38</v>
      </c>
      <c r="C22" s="100">
        <f>945200+1143600+505552</f>
        <v>2594352</v>
      </c>
      <c r="D22" s="100"/>
      <c r="E22" s="101"/>
      <c r="F22" s="100">
        <v>1260700</v>
      </c>
      <c r="G22" s="102">
        <v>323.2</v>
      </c>
      <c r="H22" s="103">
        <v>323.2</v>
      </c>
      <c r="I22" s="104"/>
      <c r="J22" s="102">
        <v>222.7</v>
      </c>
      <c r="K22" s="103">
        <v>222.7</v>
      </c>
      <c r="L22" s="105"/>
    </row>
    <row r="23" spans="1:12" ht="12.75">
      <c r="A23" s="23" t="s">
        <v>45</v>
      </c>
      <c r="B23" s="34" t="s">
        <v>38</v>
      </c>
      <c r="C23" s="9">
        <v>507133</v>
      </c>
      <c r="D23" s="9"/>
      <c r="E23" s="29"/>
      <c r="F23" s="9"/>
      <c r="G23" s="51"/>
      <c r="H23" s="52"/>
      <c r="I23" s="69"/>
      <c r="J23" s="51"/>
      <c r="K23" s="52"/>
      <c r="L23" s="21"/>
    </row>
    <row r="24" spans="1:12" ht="12.75">
      <c r="A24" s="23" t="s">
        <v>39</v>
      </c>
      <c r="B24" s="34" t="s">
        <v>41</v>
      </c>
      <c r="C24" s="9">
        <v>556135</v>
      </c>
      <c r="D24" s="9"/>
      <c r="E24" s="29"/>
      <c r="F24" s="9"/>
      <c r="G24" s="51"/>
      <c r="H24" s="52"/>
      <c r="I24" s="69"/>
      <c r="J24" s="51"/>
      <c r="K24" s="52"/>
      <c r="L24" s="21"/>
    </row>
    <row r="25" spans="1:12" ht="12.75">
      <c r="A25" s="23" t="s">
        <v>39</v>
      </c>
      <c r="B25" s="34" t="s">
        <v>40</v>
      </c>
      <c r="C25" s="9">
        <v>819098</v>
      </c>
      <c r="D25" s="39"/>
      <c r="E25" s="29" t="s">
        <v>12</v>
      </c>
      <c r="F25" s="9"/>
      <c r="G25" s="51"/>
      <c r="H25" s="52"/>
      <c r="I25" s="69"/>
      <c r="J25" s="51"/>
      <c r="K25" s="52"/>
      <c r="L25" s="21"/>
    </row>
    <row r="26" spans="1:12" ht="12.75">
      <c r="A26" s="23" t="s">
        <v>44</v>
      </c>
      <c r="B26" s="34" t="s">
        <v>40</v>
      </c>
      <c r="C26" s="9">
        <v>120190</v>
      </c>
      <c r="D26" s="39">
        <v>50000</v>
      </c>
      <c r="E26" s="29">
        <f>D26/D47*E47</f>
        <v>53420.89939224212</v>
      </c>
      <c r="F26" s="9">
        <v>50000</v>
      </c>
      <c r="G26" s="51">
        <f>F26/F53*G48</f>
        <v>53.94667330303308</v>
      </c>
      <c r="H26" s="52">
        <f>ROUND(G26*G52,1)</f>
        <v>52.6</v>
      </c>
      <c r="I26" s="69"/>
      <c r="J26" s="51">
        <f>H26/H53*J48</f>
        <v>56.89435908937983</v>
      </c>
      <c r="K26" s="52">
        <f>ROUND(J26*J52,1)</f>
        <v>54</v>
      </c>
      <c r="L26" s="21"/>
    </row>
    <row r="27" spans="1:12" ht="12.75">
      <c r="A27" s="23" t="s">
        <v>46</v>
      </c>
      <c r="B27" s="34" t="s">
        <v>40</v>
      </c>
      <c r="C27" s="9">
        <v>60712</v>
      </c>
      <c r="D27" s="39">
        <v>20000</v>
      </c>
      <c r="E27" s="29">
        <f>D27/D47*E47</f>
        <v>21368.35975689685</v>
      </c>
      <c r="F27" s="9">
        <v>20000</v>
      </c>
      <c r="G27" s="51">
        <f>F27/F53*G48</f>
        <v>21.578669321213233</v>
      </c>
      <c r="H27" s="52">
        <f>ROUND(G27*G52,1)</f>
        <v>21</v>
      </c>
      <c r="I27" s="69"/>
      <c r="J27" s="51">
        <f>H27/H53*J48</f>
        <v>22.714477963440615</v>
      </c>
      <c r="K27" s="52">
        <f>ROUND(J27*J52,1)</f>
        <v>21.6</v>
      </c>
      <c r="L27" s="21"/>
    </row>
    <row r="28" spans="1:12" ht="12.75">
      <c r="A28" s="23" t="s">
        <v>42</v>
      </c>
      <c r="B28" s="32" t="s">
        <v>43</v>
      </c>
      <c r="C28" s="9">
        <v>297300</v>
      </c>
      <c r="D28" s="9">
        <v>297300</v>
      </c>
      <c r="E28" s="29">
        <f>D28/D47*E47</f>
        <v>317640.6677862717</v>
      </c>
      <c r="F28" s="9">
        <f>318000-9900</f>
        <v>308100</v>
      </c>
      <c r="G28" s="51">
        <f>F28/F53*G48</f>
        <v>332.41940089328983</v>
      </c>
      <c r="H28" s="52">
        <f>ROUND(G28*G52,1)</f>
        <v>323.9</v>
      </c>
      <c r="I28" s="69"/>
      <c r="J28" s="51">
        <f>H28/H53*J48</f>
        <v>350.34378154087693</v>
      </c>
      <c r="K28" s="52">
        <f>ROUND(J28*J52,1)</f>
        <v>332.4</v>
      </c>
      <c r="L28" s="21"/>
    </row>
    <row r="29" spans="1:12" ht="12.75">
      <c r="A29" s="23" t="s">
        <v>77</v>
      </c>
      <c r="B29" s="32" t="s">
        <v>78</v>
      </c>
      <c r="C29" s="9"/>
      <c r="D29" s="9"/>
      <c r="E29" s="29"/>
      <c r="F29" s="9">
        <v>10000</v>
      </c>
      <c r="G29" s="51">
        <f>F29/F53*G48</f>
        <v>10.789334660606617</v>
      </c>
      <c r="H29" s="52">
        <f>ROUND(G29*G52,1)</f>
        <v>10.5</v>
      </c>
      <c r="I29" s="69"/>
      <c r="J29" s="51">
        <f>H29/H53*J48</f>
        <v>11.357238981720307</v>
      </c>
      <c r="K29" s="52">
        <f>ROUND(J29*J52,1)</f>
        <v>10.8</v>
      </c>
      <c r="L29" s="21"/>
    </row>
    <row r="30" spans="1:12" ht="12.75">
      <c r="A30" s="23" t="s">
        <v>47</v>
      </c>
      <c r="B30" s="32" t="s">
        <v>70</v>
      </c>
      <c r="C30" s="9">
        <v>1263796</v>
      </c>
      <c r="D30" s="9">
        <v>1263796</v>
      </c>
      <c r="E30" s="29">
        <f>D30/D47*E47</f>
        <v>1350262.3793663606</v>
      </c>
      <c r="F30" s="9">
        <f>1350000-30000-50000</f>
        <v>1270000</v>
      </c>
      <c r="G30" s="51">
        <f>F30/F53*G48</f>
        <v>1370.2455018970402</v>
      </c>
      <c r="H30" s="52">
        <f>ROUND(G30*G52,1)</f>
        <v>1335</v>
      </c>
      <c r="I30" s="69"/>
      <c r="J30" s="51">
        <f>H30/H53*J48</f>
        <v>1443.9918133901535</v>
      </c>
      <c r="K30" s="52">
        <f>ROUND(J30*J52,1)</f>
        <v>1370</v>
      </c>
      <c r="L30" s="21"/>
    </row>
    <row r="31" spans="1:12" ht="12.75">
      <c r="A31" s="23" t="s">
        <v>48</v>
      </c>
      <c r="B31" s="32" t="s">
        <v>2</v>
      </c>
      <c r="C31" s="9">
        <v>0</v>
      </c>
      <c r="D31" s="9">
        <v>1000</v>
      </c>
      <c r="E31" s="29">
        <f>D31/D47*E47</f>
        <v>1068.4179878448426</v>
      </c>
      <c r="F31" s="9">
        <v>1000</v>
      </c>
      <c r="G31" s="51">
        <f>F31/F53*G48</f>
        <v>1.0789334660606615</v>
      </c>
      <c r="H31" s="52">
        <f>ROUND(G31*G52,1)</f>
        <v>1.1</v>
      </c>
      <c r="I31" s="69"/>
      <c r="J31" s="51">
        <f>H31/H53*J48</f>
        <v>1.1898059885611754</v>
      </c>
      <c r="K31" s="52">
        <f>ROUND(J31*J52,1)</f>
        <v>1.1</v>
      </c>
      <c r="L31" s="21"/>
    </row>
    <row r="32" spans="1:12" ht="12.75">
      <c r="A32" s="23" t="s">
        <v>49</v>
      </c>
      <c r="B32" s="32" t="s">
        <v>3</v>
      </c>
      <c r="C32" s="9">
        <v>104700</v>
      </c>
      <c r="D32" s="9">
        <v>90000</v>
      </c>
      <c r="E32" s="29">
        <f>D32/D47*E47</f>
        <v>96157.61890603583</v>
      </c>
      <c r="F32" s="9">
        <v>90000</v>
      </c>
      <c r="G32" s="51">
        <f>F32/F53*G48</f>
        <v>97.10401194545955</v>
      </c>
      <c r="H32" s="52">
        <f>ROUND(G32*G52,1)</f>
        <v>94.6</v>
      </c>
      <c r="I32" s="69"/>
      <c r="J32" s="51">
        <f>H32/H53*J48</f>
        <v>102.32331501626105</v>
      </c>
      <c r="K32" s="52">
        <f>ROUND(J32*J52,1)</f>
        <v>97.1</v>
      </c>
      <c r="L32" s="21"/>
    </row>
    <row r="33" spans="1:12" ht="12.75">
      <c r="A33" s="23" t="s">
        <v>50</v>
      </c>
      <c r="B33" s="32" t="s">
        <v>4</v>
      </c>
      <c r="C33" s="9">
        <v>711184</v>
      </c>
      <c r="D33" s="9">
        <v>500000</v>
      </c>
      <c r="E33" s="29">
        <f>D33/D47*E47</f>
        <v>534208.9939224212</v>
      </c>
      <c r="F33" s="9">
        <f>535000-100000</f>
        <v>435000</v>
      </c>
      <c r="G33" s="51">
        <f>F33/F53*G48</f>
        <v>469.3360577363878</v>
      </c>
      <c r="H33" s="52">
        <f>ROUND(G33*G52,1)</f>
        <v>457.3</v>
      </c>
      <c r="I33" s="69"/>
      <c r="J33" s="51">
        <f>H33/H53*J48</f>
        <v>494.63479869911407</v>
      </c>
      <c r="K33" s="52">
        <f>ROUND(J33*J52,1)</f>
        <v>469.3</v>
      </c>
      <c r="L33" s="21"/>
    </row>
    <row r="34" spans="1:12" ht="12.75">
      <c r="A34" s="23" t="s">
        <v>51</v>
      </c>
      <c r="B34" s="32" t="s">
        <v>52</v>
      </c>
      <c r="C34" s="9">
        <v>20000</v>
      </c>
      <c r="D34" s="9"/>
      <c r="E34" s="29"/>
      <c r="F34" s="9"/>
      <c r="G34" s="51"/>
      <c r="H34" s="52"/>
      <c r="I34" s="69"/>
      <c r="J34" s="51"/>
      <c r="K34" s="52"/>
      <c r="L34" s="21"/>
    </row>
    <row r="35" spans="1:12" ht="12.75">
      <c r="A35" s="23" t="s">
        <v>64</v>
      </c>
      <c r="B35" s="32" t="s">
        <v>5</v>
      </c>
      <c r="C35" s="9">
        <v>5783200</v>
      </c>
      <c r="D35" s="9">
        <v>5783200</v>
      </c>
      <c r="E35" s="29">
        <f>D35/D47*E47</f>
        <v>6178874.9073042935</v>
      </c>
      <c r="F35" s="9">
        <v>6179000</v>
      </c>
      <c r="G35" s="51">
        <f>F35/F53*G48</f>
        <v>6666.729886788828</v>
      </c>
      <c r="H35" s="52">
        <f>ROUND(G35*G52,1)</f>
        <v>6495.1</v>
      </c>
      <c r="I35" s="69"/>
      <c r="J35" s="51">
        <f>H35/H53*J48</f>
        <v>7025.371705730628</v>
      </c>
      <c r="K35" s="52">
        <f>ROUND(J35*J52,1)</f>
        <v>6665.5</v>
      </c>
      <c r="L35" s="21"/>
    </row>
    <row r="36" spans="1:12" ht="12.75">
      <c r="A36" s="23" t="s">
        <v>65</v>
      </c>
      <c r="B36" s="32" t="s">
        <v>5</v>
      </c>
      <c r="C36" s="9">
        <v>326000</v>
      </c>
      <c r="D36" s="9"/>
      <c r="E36" s="29"/>
      <c r="F36" s="9">
        <v>10000</v>
      </c>
      <c r="G36" s="51">
        <f>F36/F53*G48</f>
        <v>10.789334660606617</v>
      </c>
      <c r="H36" s="52">
        <f>ROUND(G36*G52,1)</f>
        <v>10.5</v>
      </c>
      <c r="I36" s="69"/>
      <c r="J36" s="51">
        <f>H36/H53*J48</f>
        <v>11.357238981720307</v>
      </c>
      <c r="K36" s="52">
        <f>ROUND(J36*J52,1)</f>
        <v>10.8</v>
      </c>
      <c r="L36" s="21"/>
    </row>
    <row r="37" spans="1:12" ht="12.75">
      <c r="A37" s="23" t="s">
        <v>6</v>
      </c>
      <c r="B37" s="32" t="s">
        <v>6</v>
      </c>
      <c r="C37" s="9">
        <v>112200</v>
      </c>
      <c r="D37" s="9">
        <v>112200</v>
      </c>
      <c r="E37" s="29">
        <f>D37/D47*E47</f>
        <v>119876.49823619134</v>
      </c>
      <c r="F37" s="9">
        <v>120000</v>
      </c>
      <c r="G37" s="51">
        <f>F37/F53*G48</f>
        <v>129.4720159272794</v>
      </c>
      <c r="H37" s="52">
        <f>ROUND(G37*G52,1)</f>
        <v>126.1</v>
      </c>
      <c r="I37" s="69"/>
      <c r="J37" s="51">
        <f>H37/H53*J48</f>
        <v>136.39503196142198</v>
      </c>
      <c r="K37" s="52">
        <f>ROUND(J37*J52,1)</f>
        <v>129.4</v>
      </c>
      <c r="L37" s="21"/>
    </row>
    <row r="38" spans="1:12" ht="12.75">
      <c r="A38" s="23" t="s">
        <v>62</v>
      </c>
      <c r="B38" s="32" t="s">
        <v>7</v>
      </c>
      <c r="C38" s="9">
        <v>2435200</v>
      </c>
      <c r="D38" s="9">
        <v>2435200</v>
      </c>
      <c r="E38" s="29">
        <f>D38/D47*E47</f>
        <v>2601811.483999761</v>
      </c>
      <c r="F38" s="9">
        <v>2602000</v>
      </c>
      <c r="G38" s="51">
        <f>F38/F53*G48</f>
        <v>2807.3848786898416</v>
      </c>
      <c r="H38" s="52">
        <f>ROUND(G38*G52,1)</f>
        <v>2735.1</v>
      </c>
      <c r="I38" s="69"/>
      <c r="J38" s="51">
        <f>H38/H53*J48</f>
        <v>2958.398508466973</v>
      </c>
      <c r="K38" s="52">
        <f>ROUND(J38*J52,1)</f>
        <v>2806.8</v>
      </c>
      <c r="L38" s="21"/>
    </row>
    <row r="39" spans="1:12" ht="12.75">
      <c r="A39" s="23" t="s">
        <v>63</v>
      </c>
      <c r="B39" s="32" t="s">
        <v>7</v>
      </c>
      <c r="C39" s="9">
        <v>399000</v>
      </c>
      <c r="D39" s="9"/>
      <c r="E39" s="29"/>
      <c r="F39" s="9">
        <v>10000</v>
      </c>
      <c r="G39" s="51">
        <f>F39/F53*G48</f>
        <v>10.789334660606617</v>
      </c>
      <c r="H39" s="52">
        <f>ROUND(G39*G52,1)</f>
        <v>10.5</v>
      </c>
      <c r="I39" s="69"/>
      <c r="J39" s="51">
        <f>H39/H53*J48</f>
        <v>11.357238981720307</v>
      </c>
      <c r="K39" s="52">
        <f>ROUND(J39*J52,1)</f>
        <v>10.8</v>
      </c>
      <c r="L39" s="21"/>
    </row>
    <row r="40" spans="1:12" ht="12.75">
      <c r="A40" s="23" t="s">
        <v>53</v>
      </c>
      <c r="B40" s="32" t="s">
        <v>54</v>
      </c>
      <c r="C40" s="9">
        <v>20000</v>
      </c>
      <c r="D40" s="9">
        <v>20000</v>
      </c>
      <c r="E40" s="29">
        <f>D40/D47*E47</f>
        <v>21368.35975689685</v>
      </c>
      <c r="F40" s="9">
        <v>21000</v>
      </c>
      <c r="G40" s="51">
        <f>F40/F53*G48</f>
        <v>22.657602787273895</v>
      </c>
      <c r="H40" s="52">
        <f>ROUND(G40*G52,1)</f>
        <v>22.1</v>
      </c>
      <c r="I40" s="69"/>
      <c r="J40" s="51">
        <f>H40/H53*J48</f>
        <v>23.904283952001794</v>
      </c>
      <c r="K40" s="52">
        <f>ROUND(J40*J52,1)</f>
        <v>22.7</v>
      </c>
      <c r="L40" s="21"/>
    </row>
    <row r="41" spans="1:12" ht="12.75">
      <c r="A41" s="23" t="s">
        <v>61</v>
      </c>
      <c r="B41" s="32" t="s">
        <v>71</v>
      </c>
      <c r="C41" s="9"/>
      <c r="D41" s="9"/>
      <c r="E41" s="29"/>
      <c r="F41" s="9">
        <v>60000</v>
      </c>
      <c r="G41" s="51">
        <f>F41/F53*G48</f>
        <v>64.7360079636397</v>
      </c>
      <c r="H41" s="52">
        <f>ROUND(G41*G52,1)-0.1</f>
        <v>63</v>
      </c>
      <c r="I41" s="69"/>
      <c r="J41" s="51">
        <f>H41/H53*J48</f>
        <v>68.14343389032186</v>
      </c>
      <c r="K41" s="52">
        <f>ROUND(J41*J52,1)</f>
        <v>64.7</v>
      </c>
      <c r="L41" s="21"/>
    </row>
    <row r="42" spans="1:12" ht="12.75">
      <c r="A42" s="23" t="s">
        <v>55</v>
      </c>
      <c r="B42" s="32" t="s">
        <v>56</v>
      </c>
      <c r="C42" s="9">
        <v>22000</v>
      </c>
      <c r="D42" s="9"/>
      <c r="E42" s="29"/>
      <c r="F42" s="9"/>
      <c r="G42" s="51"/>
      <c r="H42" s="52"/>
      <c r="I42" s="69"/>
      <c r="J42" s="51"/>
      <c r="K42" s="52"/>
      <c r="L42" s="21"/>
    </row>
    <row r="43" spans="1:12" ht="12.75">
      <c r="A43" s="23" t="s">
        <v>55</v>
      </c>
      <c r="B43" s="32" t="s">
        <v>57</v>
      </c>
      <c r="C43" s="9">
        <v>50754</v>
      </c>
      <c r="D43" s="9"/>
      <c r="E43" s="29"/>
      <c r="F43" s="9"/>
      <c r="G43" s="51"/>
      <c r="H43" s="52"/>
      <c r="I43" s="69"/>
      <c r="J43" s="51"/>
      <c r="K43" s="52"/>
      <c r="L43" s="21"/>
    </row>
    <row r="44" spans="1:12" ht="12.75">
      <c r="A44" s="23" t="s">
        <v>11</v>
      </c>
      <c r="B44" s="32" t="s">
        <v>58</v>
      </c>
      <c r="C44" s="9">
        <v>36300</v>
      </c>
      <c r="D44" s="9">
        <v>36300</v>
      </c>
      <c r="E44" s="29">
        <f>D44/D47*E47</f>
        <v>38783.572958767785</v>
      </c>
      <c r="F44" s="9">
        <v>40000</v>
      </c>
      <c r="G44" s="51">
        <f>ROUND(SUM(G4:G43)*0.025,1)</f>
        <v>636.1</v>
      </c>
      <c r="H44" s="52">
        <f>G44</f>
        <v>636.1</v>
      </c>
      <c r="I44" s="61">
        <f>ROUND(SUM(I4:I43)*0.025,1)</f>
        <v>0</v>
      </c>
      <c r="J44" s="51">
        <f>ROUND(SUM(J4:J43)*0.05,1)</f>
        <v>1333.7</v>
      </c>
      <c r="K44" s="52">
        <f>J44</f>
        <v>1333.7</v>
      </c>
      <c r="L44" s="46">
        <f>ROUND(SUM(L4:L43)*0.025,1)</f>
        <v>0</v>
      </c>
    </row>
    <row r="45" spans="1:23" ht="12.75">
      <c r="A45" s="23" t="s">
        <v>59</v>
      </c>
      <c r="B45" s="32" t="s">
        <v>60</v>
      </c>
      <c r="C45" s="9">
        <v>592846</v>
      </c>
      <c r="D45" s="39"/>
      <c r="E45" s="29"/>
      <c r="F45" s="9"/>
      <c r="G45" s="53"/>
      <c r="H45" s="54"/>
      <c r="I45" s="55"/>
      <c r="J45" s="53"/>
      <c r="K45" s="54"/>
      <c r="L45" s="47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>
      <c r="A46" s="13" t="s">
        <v>12</v>
      </c>
      <c r="B46" s="35"/>
      <c r="C46" s="9"/>
      <c r="D46" s="9"/>
      <c r="E46" s="29"/>
      <c r="F46" s="9"/>
      <c r="G46" s="60"/>
      <c r="H46" s="55"/>
      <c r="I46" s="54"/>
      <c r="J46" s="60"/>
      <c r="K46" s="55"/>
      <c r="L46" s="4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s="4" customFormat="1" ht="12.75">
      <c r="A47" s="116" t="s">
        <v>120</v>
      </c>
      <c r="B47" s="36"/>
      <c r="C47" s="10">
        <f>SUM(C4:C46)</f>
        <v>28405193.009999998</v>
      </c>
      <c r="D47" s="10">
        <f>SUM(D4:D46)</f>
        <v>21474835</v>
      </c>
      <c r="E47" s="30">
        <v>22944100</v>
      </c>
      <c r="F47" s="115">
        <f>SUM(F4:F46)</f>
        <v>24503600</v>
      </c>
      <c r="G47" s="65">
        <f>SUM(G4:G46)</f>
        <v>26079.7</v>
      </c>
      <c r="H47" s="114">
        <f>SUM(H4:H46)</f>
        <v>25443.6</v>
      </c>
      <c r="I47" s="56">
        <f>SUM(I4:I46)</f>
        <v>0</v>
      </c>
      <c r="J47" s="65">
        <f>SUM(J4:J46)</f>
        <v>28007.499999999996</v>
      </c>
      <c r="K47" s="114">
        <f>SUM(K4:K46)</f>
        <v>26673.799999999996</v>
      </c>
      <c r="L47" s="73">
        <f>SUM(L4:L46)</f>
        <v>0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2.75">
      <c r="A48" s="13" t="s">
        <v>12</v>
      </c>
      <c r="B48" s="35"/>
      <c r="C48" s="9"/>
      <c r="D48" s="9"/>
      <c r="E48" s="29"/>
      <c r="F48" s="9"/>
      <c r="G48" s="67">
        <f>24712</f>
        <v>24712</v>
      </c>
      <c r="H48" s="113" t="s">
        <v>119</v>
      </c>
      <c r="I48" s="58"/>
      <c r="J48" s="67">
        <f>26041.5</f>
        <v>26041.5</v>
      </c>
      <c r="K48" s="113" t="s">
        <v>119</v>
      </c>
      <c r="L48" s="43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>
      <c r="A49" s="13"/>
      <c r="B49" s="35"/>
      <c r="C49" s="9"/>
      <c r="D49" s="9"/>
      <c r="E49" s="38">
        <f>SUM(E4:E45)</f>
        <v>22944099.999999996</v>
      </c>
      <c r="F49" s="63">
        <f>E47+F11+F13+F22</f>
        <v>24503600</v>
      </c>
      <c r="G49" s="67">
        <f>24712+G11+G13+G22</f>
        <v>25443.6</v>
      </c>
      <c r="H49" s="68" t="s">
        <v>82</v>
      </c>
      <c r="I49" s="59">
        <v>24712000</v>
      </c>
      <c r="J49" s="67">
        <f>26041.5+J11+J13+J22</f>
        <v>26673.8</v>
      </c>
      <c r="K49" s="68" t="s">
        <v>82</v>
      </c>
      <c r="L49" s="44">
        <v>26041500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>
      <c r="A50" s="13"/>
      <c r="B50" s="35"/>
      <c r="C50" s="9"/>
      <c r="D50" s="9"/>
      <c r="E50" s="29">
        <f>E47-E49</f>
        <v>0</v>
      </c>
      <c r="F50" s="9">
        <f>F47-F49</f>
        <v>0</v>
      </c>
      <c r="G50" s="9">
        <f>G47-G49</f>
        <v>636.1000000000022</v>
      </c>
      <c r="H50" s="58">
        <f>H47-G49</f>
        <v>0</v>
      </c>
      <c r="I50" s="58"/>
      <c r="J50" s="9">
        <f>J47-J49</f>
        <v>1333.699999999997</v>
      </c>
      <c r="K50" s="58">
        <f>K47-J49</f>
        <v>0</v>
      </c>
      <c r="L50" s="43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>
      <c r="A51" s="13"/>
      <c r="B51" s="35"/>
      <c r="C51" s="9"/>
      <c r="D51" s="9"/>
      <c r="E51" s="29"/>
      <c r="F51" s="9"/>
      <c r="G51" s="60"/>
      <c r="H51" s="54"/>
      <c r="I51" s="71"/>
      <c r="J51" s="60"/>
      <c r="K51" s="54"/>
      <c r="L51" s="45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12" ht="12.75">
      <c r="A52" s="13"/>
      <c r="B52" s="35"/>
      <c r="C52" s="11"/>
      <c r="D52" s="11"/>
      <c r="E52" s="29">
        <f>E47/D47</f>
        <v>1.0684179878448425</v>
      </c>
      <c r="F52" s="9"/>
      <c r="G52" s="121">
        <v>0.9742495</v>
      </c>
      <c r="H52" s="122"/>
      <c r="I52" s="72"/>
      <c r="J52" s="121">
        <v>0.948772</v>
      </c>
      <c r="K52" s="123"/>
      <c r="L52" s="14"/>
    </row>
    <row r="53" spans="1:12" ht="12.75">
      <c r="A53" s="15"/>
      <c r="B53" s="37"/>
      <c r="C53" s="12"/>
      <c r="D53" s="112"/>
      <c r="E53" s="48" t="s">
        <v>118</v>
      </c>
      <c r="F53" s="48">
        <f>SUM(F4:F43)-F11-F13-F22</f>
        <v>22904100</v>
      </c>
      <c r="G53" s="48"/>
      <c r="H53" s="74">
        <f>H47-H44-H11-H13-H22</f>
        <v>24075.9</v>
      </c>
      <c r="I53" s="62"/>
      <c r="J53" s="66"/>
      <c r="K53" s="62"/>
      <c r="L53" s="17"/>
    </row>
    <row r="54" spans="1:6" ht="12.75">
      <c r="A54" s="2"/>
      <c r="B54" s="27"/>
      <c r="C54" s="26"/>
      <c r="D54" s="26"/>
      <c r="E54" s="3"/>
      <c r="F54" s="3"/>
    </row>
    <row r="55" spans="1:6" s="4" customFormat="1" ht="25.5">
      <c r="A55" s="81"/>
      <c r="B55" s="81"/>
      <c r="C55" s="75" t="s">
        <v>96</v>
      </c>
      <c r="D55" s="75" t="s">
        <v>99</v>
      </c>
      <c r="E55" s="94" t="s">
        <v>107</v>
      </c>
      <c r="F55" s="75"/>
    </row>
    <row r="56" spans="1:23" ht="12.75">
      <c r="A56" s="78" t="s">
        <v>0</v>
      </c>
      <c r="B56" s="78" t="s">
        <v>86</v>
      </c>
      <c r="C56" s="79">
        <v>971</v>
      </c>
      <c r="D56" s="79">
        <f>53059.6*19/1000</f>
        <v>1008.1324000000001</v>
      </c>
      <c r="E56" s="79">
        <v>1008200</v>
      </c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ht="12.75">
      <c r="A57" s="78" t="s">
        <v>0</v>
      </c>
      <c r="B57" s="78" t="s">
        <v>87</v>
      </c>
      <c r="C57" s="79">
        <v>211.5</v>
      </c>
      <c r="D57" s="79">
        <f>D56*0.22</f>
        <v>221.789128</v>
      </c>
      <c r="E57" s="79">
        <v>221800</v>
      </c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6" s="4" customFormat="1" ht="12.75">
      <c r="A58" s="81" t="s">
        <v>95</v>
      </c>
      <c r="B58" s="81"/>
      <c r="C58" s="75">
        <f>SUM(C56:C57)</f>
        <v>1182.5</v>
      </c>
      <c r="D58" s="75">
        <f>SUM(D56:D57)</f>
        <v>1229.921528</v>
      </c>
      <c r="E58" s="75">
        <f>SUM(E56:E57)</f>
        <v>1230000</v>
      </c>
      <c r="F58" s="75">
        <f>E58/1000-D58</f>
        <v>0.07847199999991972</v>
      </c>
    </row>
    <row r="59" spans="1:23" ht="12.75">
      <c r="A59" s="82" t="s">
        <v>1</v>
      </c>
      <c r="B59" s="82" t="s">
        <v>86</v>
      </c>
      <c r="C59" s="76">
        <v>5627.4</v>
      </c>
      <c r="D59" s="76">
        <f>285000*19/1000</f>
        <v>5415</v>
      </c>
      <c r="E59" s="76">
        <v>5415000</v>
      </c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2.75">
      <c r="A60" s="82" t="s">
        <v>1</v>
      </c>
      <c r="B60" s="82" t="s">
        <v>88</v>
      </c>
      <c r="C60" s="76">
        <v>2</v>
      </c>
      <c r="D60" s="76">
        <v>5</v>
      </c>
      <c r="E60" s="76">
        <v>5000</v>
      </c>
      <c r="F60" s="76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2.75">
      <c r="A61" s="82" t="s">
        <v>1</v>
      </c>
      <c r="B61" s="82" t="s">
        <v>87</v>
      </c>
      <c r="C61" s="76">
        <v>1510</v>
      </c>
      <c r="D61" s="76">
        <f>D59*0.3</f>
        <v>1624.5</v>
      </c>
      <c r="E61" s="76">
        <v>1624500</v>
      </c>
      <c r="F61" s="76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ht="12.75">
      <c r="A62" s="82" t="s">
        <v>1</v>
      </c>
      <c r="B62" s="82" t="s">
        <v>89</v>
      </c>
      <c r="C62" s="76">
        <v>69</v>
      </c>
      <c r="D62" s="76">
        <v>69</v>
      </c>
      <c r="E62" s="76">
        <v>72000</v>
      </c>
      <c r="F62" s="76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ht="12.75">
      <c r="A63" s="82" t="s">
        <v>1</v>
      </c>
      <c r="B63" s="82" t="s">
        <v>90</v>
      </c>
      <c r="C63" s="76">
        <v>45</v>
      </c>
      <c r="D63" s="76">
        <v>45</v>
      </c>
      <c r="E63" s="76">
        <v>70000</v>
      </c>
      <c r="F63" s="76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ht="12.75">
      <c r="A64" s="82" t="s">
        <v>1</v>
      </c>
      <c r="B64" s="82" t="s">
        <v>91</v>
      </c>
      <c r="C64" s="76">
        <f>1.5+1.3</f>
        <v>2.8</v>
      </c>
      <c r="D64" s="76">
        <f>1.5+1.3</f>
        <v>2.8</v>
      </c>
      <c r="E64" s="76">
        <f>1500+1300</f>
        <v>2800</v>
      </c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2.75">
      <c r="A65" s="82" t="s">
        <v>1</v>
      </c>
      <c r="B65" s="82" t="s">
        <v>92</v>
      </c>
      <c r="C65" s="76">
        <v>5.3</v>
      </c>
      <c r="D65" s="76">
        <v>5.3</v>
      </c>
      <c r="E65" s="76">
        <v>10000</v>
      </c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2.75">
      <c r="A66" s="82" t="s">
        <v>1</v>
      </c>
      <c r="B66" s="82" t="s">
        <v>93</v>
      </c>
      <c r="C66" s="76">
        <v>253.2</v>
      </c>
      <c r="D66" s="76">
        <v>253.2</v>
      </c>
      <c r="E66" s="76">
        <v>328500</v>
      </c>
      <c r="F66" s="76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6" s="4" customFormat="1" ht="12.75">
      <c r="A67" s="81" t="s">
        <v>94</v>
      </c>
      <c r="B67" s="81"/>
      <c r="C67" s="75">
        <f>SUM(C59:C66)</f>
        <v>7514.7</v>
      </c>
      <c r="D67" s="75">
        <f>SUM(D59:D66)</f>
        <v>7419.8</v>
      </c>
      <c r="E67" s="75">
        <f>SUM(E59:E66)</f>
        <v>7527800</v>
      </c>
      <c r="F67" s="75">
        <f>E67/1000-D67</f>
        <v>108</v>
      </c>
    </row>
    <row r="68" spans="1:6" s="91" customFormat="1" ht="12.75">
      <c r="A68" s="89" t="s">
        <v>103</v>
      </c>
      <c r="B68" s="89"/>
      <c r="C68" s="90">
        <f>C58+C67</f>
        <v>8697.2</v>
      </c>
      <c r="D68" s="90">
        <f>D58+D67</f>
        <v>8649.721528</v>
      </c>
      <c r="E68" s="90">
        <f>E58+E67</f>
        <v>8757800</v>
      </c>
      <c r="F68" s="90"/>
    </row>
    <row r="69" spans="1:6" s="87" customFormat="1" ht="12.75">
      <c r="A69" s="85" t="s">
        <v>104</v>
      </c>
      <c r="B69" s="85"/>
      <c r="C69" s="86"/>
      <c r="D69" s="86">
        <v>8757.8</v>
      </c>
      <c r="E69" s="86">
        <v>8757800</v>
      </c>
      <c r="F69" s="86"/>
    </row>
    <row r="70" spans="1:6" s="87" customFormat="1" ht="12.75">
      <c r="A70" s="92" t="s">
        <v>105</v>
      </c>
      <c r="B70" s="92"/>
      <c r="C70" s="93"/>
      <c r="D70" s="93">
        <f>D69-D68</f>
        <v>108.07847199999924</v>
      </c>
      <c r="E70" s="93">
        <f>E69-E68</f>
        <v>0</v>
      </c>
      <c r="F70" s="86"/>
    </row>
    <row r="71" spans="1:6" s="97" customFormat="1" ht="12.75">
      <c r="A71" s="95"/>
      <c r="B71" s="95"/>
      <c r="C71" s="96"/>
      <c r="D71" s="96"/>
      <c r="E71" s="96"/>
      <c r="F71" s="96"/>
    </row>
    <row r="72" spans="1:23" ht="12.75">
      <c r="A72" s="81" t="s">
        <v>97</v>
      </c>
      <c r="B72" s="82" t="s">
        <v>90</v>
      </c>
      <c r="C72" s="76"/>
      <c r="D72" s="76">
        <f>(335916+114055)/1000</f>
        <v>449.971</v>
      </c>
      <c r="E72" s="76">
        <f>345050+114055+40895</f>
        <v>500000</v>
      </c>
      <c r="F72" s="7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12.75">
      <c r="A73" s="83" t="s">
        <v>108</v>
      </c>
      <c r="B73" s="82"/>
      <c r="C73" s="76"/>
      <c r="D73" s="76"/>
      <c r="E73" s="76"/>
      <c r="F73" s="7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ht="12.75">
      <c r="A74" s="83" t="s">
        <v>100</v>
      </c>
      <c r="B74" s="82"/>
      <c r="C74" s="76"/>
      <c r="D74" s="76"/>
      <c r="E74" s="76"/>
      <c r="F74" s="7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12.75">
      <c r="A75" s="82"/>
      <c r="B75" s="82"/>
      <c r="C75" s="76"/>
      <c r="D75" s="76"/>
      <c r="E75" s="76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12.75">
      <c r="A76" s="82" t="s">
        <v>98</v>
      </c>
      <c r="B76" s="82"/>
      <c r="C76" s="84"/>
      <c r="D76" s="84">
        <f>D69+D72</f>
        <v>9207.770999999999</v>
      </c>
      <c r="E76" s="84">
        <f>E69+E72</f>
        <v>9257800</v>
      </c>
      <c r="F76" s="84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1:23" ht="12.75">
      <c r="A77" s="82"/>
      <c r="B77" s="82"/>
      <c r="C77" s="84"/>
      <c r="D77" s="84"/>
      <c r="E77" s="76"/>
      <c r="F77" s="7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1:23" ht="12.75">
      <c r="A78" s="77"/>
      <c r="B78" s="77"/>
      <c r="C78" s="84"/>
      <c r="D78" s="84"/>
      <c r="E78" s="84">
        <f>('10.10.2012'!F4+'10.10.2012'!F5)/1000</f>
        <v>9292</v>
      </c>
      <c r="F78" s="84">
        <f>E76/1000-E78</f>
        <v>-34.20000000000073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1:23" ht="12.75">
      <c r="A79" s="77"/>
      <c r="B79" s="77"/>
      <c r="C79" s="84"/>
      <c r="D79" s="84"/>
      <c r="E79" s="84"/>
      <c r="F79" s="84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1:23" ht="12.75">
      <c r="A80" s="77"/>
      <c r="B80" s="77"/>
      <c r="C80" s="84"/>
      <c r="D80" s="84"/>
      <c r="E80" s="84"/>
      <c r="F80" s="84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1:23" ht="12.75">
      <c r="A81" s="77"/>
      <c r="B81" s="77"/>
      <c r="C81" s="84"/>
      <c r="D81" s="84"/>
      <c r="E81" s="84"/>
      <c r="F81" s="84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1:23" ht="12.75">
      <c r="A82" s="77"/>
      <c r="B82" s="77"/>
      <c r="C82" s="84"/>
      <c r="D82" s="84"/>
      <c r="E82" s="84"/>
      <c r="F82" s="84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1:23" ht="12.75">
      <c r="A83" s="77"/>
      <c r="B83" s="77"/>
      <c r="C83" s="84"/>
      <c r="D83" s="84"/>
      <c r="E83" s="84"/>
      <c r="F83" s="84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1:23" ht="12.75">
      <c r="A84" s="77"/>
      <c r="B84" s="77"/>
      <c r="C84" s="84"/>
      <c r="D84" s="84"/>
      <c r="E84" s="84"/>
      <c r="F84" s="84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1:23" ht="12.75">
      <c r="A85" s="77"/>
      <c r="B85" s="77"/>
      <c r="C85" s="84"/>
      <c r="D85" s="84"/>
      <c r="E85" s="84"/>
      <c r="F85" s="84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1:23" ht="12.75">
      <c r="A86" s="77"/>
      <c r="B86" s="77"/>
      <c r="C86" s="84"/>
      <c r="D86" s="84"/>
      <c r="E86" s="84"/>
      <c r="F86" s="84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1:23" ht="12.75">
      <c r="A87" s="77"/>
      <c r="B87" s="77"/>
      <c r="C87" s="84"/>
      <c r="D87" s="84"/>
      <c r="E87" s="84"/>
      <c r="F87" s="84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77"/>
      <c r="B88" s="77"/>
      <c r="C88" s="84"/>
      <c r="D88" s="84"/>
      <c r="E88" s="84"/>
      <c r="F88" s="84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77"/>
      <c r="B89" s="77"/>
      <c r="C89" s="84"/>
      <c r="D89" s="84"/>
      <c r="E89" s="84"/>
      <c r="F89" s="84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77"/>
      <c r="B90" s="77"/>
      <c r="C90" s="84"/>
      <c r="D90" s="84"/>
      <c r="E90" s="84"/>
      <c r="F90" s="84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1:23" ht="12.75">
      <c r="A91" s="77"/>
      <c r="B91" s="77"/>
      <c r="C91" s="84"/>
      <c r="D91" s="84"/>
      <c r="E91" s="84"/>
      <c r="F91" s="84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1:23" ht="12.75">
      <c r="A92" s="77"/>
      <c r="B92" s="77"/>
      <c r="C92" s="84"/>
      <c r="D92" s="84"/>
      <c r="E92" s="84"/>
      <c r="F92" s="84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1:23" ht="12.75">
      <c r="A93" s="77"/>
      <c r="B93" s="77"/>
      <c r="C93" s="84"/>
      <c r="D93" s="84"/>
      <c r="E93" s="84"/>
      <c r="F93" s="84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1:23" ht="12.75">
      <c r="A94" s="77"/>
      <c r="B94" s="77"/>
      <c r="C94" s="84"/>
      <c r="D94" s="84"/>
      <c r="E94" s="84"/>
      <c r="F94" s="84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1:23" ht="12.75">
      <c r="A95" s="77"/>
      <c r="B95" s="77"/>
      <c r="C95" s="84"/>
      <c r="D95" s="84"/>
      <c r="E95" s="84"/>
      <c r="F95" s="84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1:23" ht="12.75">
      <c r="A96" s="77"/>
      <c r="B96" s="77"/>
      <c r="C96" s="84"/>
      <c r="D96" s="84"/>
      <c r="E96" s="84"/>
      <c r="F96" s="84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1:23" ht="12.75">
      <c r="A97" s="77"/>
      <c r="B97" s="77"/>
      <c r="C97" s="84"/>
      <c r="D97" s="84"/>
      <c r="E97" s="84"/>
      <c r="F97" s="84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1:23" ht="12.75">
      <c r="A98" s="77"/>
      <c r="B98" s="77"/>
      <c r="C98" s="84"/>
      <c r="D98" s="84"/>
      <c r="E98" s="84"/>
      <c r="F98" s="84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1:23" ht="12.75">
      <c r="A99" s="77"/>
      <c r="B99" s="77"/>
      <c r="C99" s="84"/>
      <c r="D99" s="84"/>
      <c r="E99" s="84"/>
      <c r="F99" s="84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1:23" ht="12.75">
      <c r="A100" s="77"/>
      <c r="B100" s="77"/>
      <c r="C100" s="84"/>
      <c r="D100" s="84"/>
      <c r="E100" s="84"/>
      <c r="F100" s="84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1:23" ht="12.75">
      <c r="A101" s="77"/>
      <c r="B101" s="77"/>
      <c r="C101" s="84"/>
      <c r="D101" s="84"/>
      <c r="E101" s="84"/>
      <c r="F101" s="84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1:23" ht="12.75">
      <c r="A102" s="77"/>
      <c r="B102" s="77"/>
      <c r="C102" s="84"/>
      <c r="D102" s="84"/>
      <c r="E102" s="84"/>
      <c r="F102" s="84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1:23" ht="12.75">
      <c r="A103" s="77"/>
      <c r="B103" s="77"/>
      <c r="C103" s="84"/>
      <c r="D103" s="84"/>
      <c r="E103" s="84"/>
      <c r="F103" s="84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1:23" ht="12.75">
      <c r="A104" s="77"/>
      <c r="B104" s="77"/>
      <c r="C104" s="84"/>
      <c r="D104" s="84"/>
      <c r="E104" s="84"/>
      <c r="F104" s="84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1:23" ht="12.75">
      <c r="A105" s="77"/>
      <c r="B105" s="77"/>
      <c r="C105" s="84"/>
      <c r="D105" s="84"/>
      <c r="E105" s="84"/>
      <c r="F105" s="84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23" ht="12.75">
      <c r="A106" s="77"/>
      <c r="B106" s="77"/>
      <c r="C106" s="84"/>
      <c r="D106" s="84"/>
      <c r="E106" s="84"/>
      <c r="F106" s="84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1:23" ht="12.75">
      <c r="A107" s="77"/>
      <c r="B107" s="77"/>
      <c r="C107" s="84"/>
      <c r="D107" s="84"/>
      <c r="E107" s="84"/>
      <c r="F107" s="8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1:23" ht="12.75">
      <c r="A108" s="77"/>
      <c r="B108" s="77"/>
      <c r="C108" s="84"/>
      <c r="D108" s="84"/>
      <c r="E108" s="84"/>
      <c r="F108" s="8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1:23" ht="12.75">
      <c r="A109" s="77"/>
      <c r="B109" s="77"/>
      <c r="C109" s="84"/>
      <c r="D109" s="84"/>
      <c r="E109" s="84"/>
      <c r="F109" s="8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1:23" ht="12.75">
      <c r="A110" s="77"/>
      <c r="B110" s="77"/>
      <c r="C110" s="84"/>
      <c r="D110" s="84"/>
      <c r="E110" s="84"/>
      <c r="F110" s="8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1:23" ht="12.75">
      <c r="A111" s="77"/>
      <c r="B111" s="77"/>
      <c r="C111" s="84"/>
      <c r="D111" s="84"/>
      <c r="E111" s="84"/>
      <c r="F111" s="8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1:23" ht="12.75">
      <c r="A112" s="77"/>
      <c r="B112" s="77"/>
      <c r="C112" s="84"/>
      <c r="D112" s="84"/>
      <c r="E112" s="84"/>
      <c r="F112" s="8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1:23" ht="12.75">
      <c r="A113" s="77"/>
      <c r="B113" s="77"/>
      <c r="C113" s="84"/>
      <c r="D113" s="84"/>
      <c r="E113" s="84"/>
      <c r="F113" s="84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1:23" ht="12.75">
      <c r="A114" s="77"/>
      <c r="B114" s="77"/>
      <c r="C114" s="84"/>
      <c r="D114" s="84"/>
      <c r="E114" s="84"/>
      <c r="F114" s="84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1:23" ht="12.75">
      <c r="A115" s="77"/>
      <c r="B115" s="77"/>
      <c r="C115" s="84"/>
      <c r="D115" s="84"/>
      <c r="E115" s="84"/>
      <c r="F115" s="84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1:23" ht="12.75">
      <c r="A116" s="77"/>
      <c r="B116" s="77"/>
      <c r="C116" s="84"/>
      <c r="D116" s="84"/>
      <c r="E116" s="84"/>
      <c r="F116" s="84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1:23" ht="12.75">
      <c r="A117" s="77"/>
      <c r="B117" s="77"/>
      <c r="C117" s="84"/>
      <c r="D117" s="84"/>
      <c r="E117" s="84"/>
      <c r="F117" s="84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1:23" ht="12.75">
      <c r="A118" s="77"/>
      <c r="B118" s="77"/>
      <c r="C118" s="84"/>
      <c r="D118" s="84"/>
      <c r="E118" s="84"/>
      <c r="F118" s="84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1:23" ht="12.75">
      <c r="A119" s="77"/>
      <c r="B119" s="77"/>
      <c r="C119" s="84"/>
      <c r="D119" s="84"/>
      <c r="E119" s="84"/>
      <c r="F119" s="84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1:23" ht="12.75">
      <c r="A120" s="77"/>
      <c r="B120" s="77"/>
      <c r="C120" s="84"/>
      <c r="D120" s="84"/>
      <c r="E120" s="84"/>
      <c r="F120" s="84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2.75">
      <c r="A121" s="77"/>
      <c r="B121" s="77"/>
      <c r="C121" s="84"/>
      <c r="D121" s="84"/>
      <c r="E121" s="84"/>
      <c r="F121" s="84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1:23" ht="12.75">
      <c r="A122" s="77"/>
      <c r="B122" s="77"/>
      <c r="C122" s="84"/>
      <c r="D122" s="84"/>
      <c r="E122" s="84"/>
      <c r="F122" s="84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1:23" ht="12.75">
      <c r="A123" s="77"/>
      <c r="B123" s="77"/>
      <c r="C123" s="84"/>
      <c r="D123" s="84"/>
      <c r="E123" s="84"/>
      <c r="F123" s="84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1:23" ht="12.75">
      <c r="A124" s="77"/>
      <c r="B124" s="77"/>
      <c r="C124" s="84"/>
      <c r="D124" s="84"/>
      <c r="E124" s="84"/>
      <c r="F124" s="84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1:23" ht="12.75">
      <c r="A125" s="77"/>
      <c r="B125" s="77"/>
      <c r="C125" s="84"/>
      <c r="D125" s="84"/>
      <c r="E125" s="84"/>
      <c r="F125" s="84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1:23" ht="12.75">
      <c r="A126" s="77"/>
      <c r="B126" s="77"/>
      <c r="C126" s="84"/>
      <c r="D126" s="84"/>
      <c r="E126" s="84"/>
      <c r="F126" s="84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1:23" ht="12.75">
      <c r="A127" s="77"/>
      <c r="B127" s="77"/>
      <c r="C127" s="84"/>
      <c r="D127" s="84"/>
      <c r="E127" s="84"/>
      <c r="F127" s="84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1:23" ht="12.75">
      <c r="A128" s="77"/>
      <c r="B128" s="77"/>
      <c r="C128" s="84"/>
      <c r="D128" s="84"/>
      <c r="E128" s="84"/>
      <c r="F128" s="84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1:23" ht="12.75">
      <c r="A129" s="77"/>
      <c r="B129" s="77"/>
      <c r="C129" s="84"/>
      <c r="D129" s="84"/>
      <c r="E129" s="84"/>
      <c r="F129" s="84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3" ht="12.75">
      <c r="A130" s="77"/>
      <c r="B130" s="77"/>
      <c r="C130" s="84"/>
      <c r="D130" s="84"/>
      <c r="E130" s="84"/>
      <c r="F130" s="84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1:23" ht="12.75">
      <c r="A131" s="77"/>
      <c r="B131" s="77"/>
      <c r="C131" s="84"/>
      <c r="D131" s="84"/>
      <c r="E131" s="84"/>
      <c r="F131" s="84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1:23" ht="12.75">
      <c r="A132" s="77"/>
      <c r="B132" s="77"/>
      <c r="C132" s="84"/>
      <c r="D132" s="84"/>
      <c r="E132" s="84"/>
      <c r="F132" s="84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1:23" ht="12.75">
      <c r="A133" s="77"/>
      <c r="B133" s="77"/>
      <c r="C133" s="84"/>
      <c r="D133" s="84"/>
      <c r="E133" s="84"/>
      <c r="F133" s="84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1:23" ht="12.75">
      <c r="A134" s="77"/>
      <c r="B134" s="77"/>
      <c r="C134" s="84"/>
      <c r="D134" s="84"/>
      <c r="E134" s="84"/>
      <c r="F134" s="84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1:23" ht="12.75">
      <c r="A135" s="77"/>
      <c r="B135" s="77"/>
      <c r="C135" s="84"/>
      <c r="D135" s="84"/>
      <c r="E135" s="84"/>
      <c r="F135" s="84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</sheetData>
  <mergeCells count="9">
    <mergeCell ref="B1:B2"/>
    <mergeCell ref="C1:C2"/>
    <mergeCell ref="F1:F2"/>
    <mergeCell ref="D1:D2"/>
    <mergeCell ref="E1:E2"/>
    <mergeCell ref="J1:L1"/>
    <mergeCell ref="G1:I1"/>
    <mergeCell ref="G52:H52"/>
    <mergeCell ref="J52:K52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Glava</cp:lastModifiedBy>
  <cp:lastPrinted>2012-11-01T12:19:27Z</cp:lastPrinted>
  <dcterms:created xsi:type="dcterms:W3CDTF">2011-10-04T04:26:23Z</dcterms:created>
  <dcterms:modified xsi:type="dcterms:W3CDTF">2012-11-01T12:22:19Z</dcterms:modified>
  <cp:category/>
  <cp:version/>
  <cp:contentType/>
  <cp:contentStatus/>
</cp:coreProperties>
</file>