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245" activeTab="1"/>
  </bookViews>
  <sheets>
    <sheet name="Фед казн." sheetId="1" r:id="rId1"/>
    <sheet name="СБР" sheetId="2" r:id="rId2"/>
    <sheet name="1" sheetId="3" r:id="rId3"/>
  </sheets>
  <definedNames/>
  <calcPr fullCalcOnLoad="1"/>
</workbook>
</file>

<file path=xl/sharedStrings.xml><?xml version="1.0" encoding="utf-8"?>
<sst xmlns="http://schemas.openxmlformats.org/spreadsheetml/2006/main" count="849" uniqueCount="319">
  <si>
    <t>СВОДНАЯ РОСПИСЬ РАСХОДОВ БЮДЖЕТА</t>
  </si>
  <si>
    <t>Коды</t>
  </si>
  <si>
    <t>на</t>
  </si>
  <si>
    <t>год</t>
  </si>
  <si>
    <t>Год</t>
  </si>
  <si>
    <t>Дата</t>
  </si>
  <si>
    <t>Наименование учреждения</t>
  </si>
  <si>
    <t>по ОКПО</t>
  </si>
  <si>
    <t>Главный распорядитель (распорядитель)</t>
  </si>
  <si>
    <t>по ППП</t>
  </si>
  <si>
    <t>Наименование бюджета</t>
  </si>
  <si>
    <t>Единица измерения: руб.</t>
  </si>
  <si>
    <t>по ОКЕИ</t>
  </si>
  <si>
    <t>383</t>
  </si>
  <si>
    <t>Ограничения:</t>
  </si>
  <si>
    <t>Код по Бюджетной классификации</t>
  </si>
  <si>
    <t>Наименование расхода</t>
  </si>
  <si>
    <t>В том числе по кварталам</t>
  </si>
  <si>
    <t>I кв.</t>
  </si>
  <si>
    <t>II кв.</t>
  </si>
  <si>
    <t>III кв.</t>
  </si>
  <si>
    <t>IV кв.</t>
  </si>
  <si>
    <t>1</t>
  </si>
  <si>
    <t>2</t>
  </si>
  <si>
    <t>3</t>
  </si>
  <si>
    <t>4</t>
  </si>
  <si>
    <t>5</t>
  </si>
  <si>
    <t>6</t>
  </si>
  <si>
    <t>7</t>
  </si>
  <si>
    <t>ПОСЕЛЕНИЯ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</si>
  <si>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</si>
  <si>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</si>
  <si>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</si>
  <si>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Заработная плата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</si>
  <si>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</si>
  <si>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</si>
  <si>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</si>
  <si>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Прочие выплаты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</si>
  <si>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</si>
  <si>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</si>
  <si>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</si>
  <si>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</si>
  <si>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</si>
  <si>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</si>
  <si>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Резервные фонды</t>
  </si>
  <si>
    <t>Резервные фонды местных администраций</t>
  </si>
  <si>
    <t>Прочие расходы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</si>
  <si>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</si>
  <si>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</si>
  <si>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Жилищное хозяйство</t>
  </si>
  <si>
    <t>Безвозмездные перечисления государственным и муниципальным организациям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</si>
  <si>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</si>
  <si>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</si>
  <si>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</si>
  <si>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</si>
  <si>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</si>
  <si>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</si>
  <si>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Культура</t>
  </si>
  <si>
    <t>Обеспечение деятельности подведомственных учреждений</t>
  </si>
  <si>
    <t>Выполнение функций бюджетными учреждениями</t>
  </si>
  <si>
    <t>Государственная поддержка в сфере культуры, кинематографии и средств массовой информации</t>
  </si>
  <si>
    <t>Физическая культура и спорт</t>
  </si>
  <si>
    <t>Мероприятия в области здравоохранения, спорта и физической культуры, туризма</t>
  </si>
  <si>
    <t>Выполнение функций государственными органами</t>
  </si>
  <si>
    <t>Социальное обеспечение населения</t>
  </si>
  <si>
    <t>Оказание других видов социальной помощи</t>
  </si>
  <si>
    <t>Социальные выплаты</t>
  </si>
  <si>
    <t>Пособия по социальной помощи населению</t>
  </si>
  <si>
    <t>ИТОГО</t>
  </si>
  <si>
    <t>(подпись)</t>
  </si>
  <si>
    <t>(расшифровка подписи)</t>
  </si>
  <si>
    <t>(дата)</t>
  </si>
  <si>
    <t xml:space="preserve">                  АДМИНИСТРАЦИЯ СЕЛЬСКОГО ПОСЕЛЕНИЯ АЛЯБЬЕВСКИЙ</t>
  </si>
  <si>
    <t xml:space="preserve"> </t>
  </si>
  <si>
    <t>Молодежная политика и оздоровление детей</t>
  </si>
  <si>
    <t>Прочие расходные материалы и предметы снабжения</t>
  </si>
  <si>
    <t xml:space="preserve">Мероприятия </t>
  </si>
  <si>
    <t>Медикаменты</t>
  </si>
  <si>
    <t>Мягкий инвентарь</t>
  </si>
  <si>
    <t>Начальник ФЭО</t>
  </si>
  <si>
    <t>Мачехина Л.П.</t>
  </si>
  <si>
    <t>Обеспечение проведения выборов и референдумов</t>
  </si>
  <si>
    <t>Проведение выборов и референдумов</t>
  </si>
  <si>
    <t>Мероприятия в области социальной политики</t>
  </si>
  <si>
    <t>Другие общегосударственные вопросы</t>
  </si>
  <si>
    <t>Государственная регистрация актов гражданского состояния</t>
  </si>
  <si>
    <t>Глава сельского поселения Алябьевский</t>
  </si>
  <si>
    <t>Михеичев Н.К.</t>
  </si>
  <si>
    <t>Выходное пособие при увольнении</t>
  </si>
  <si>
    <t xml:space="preserve"> 2011 год</t>
  </si>
  <si>
    <t>8</t>
  </si>
  <si>
    <t>9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</si>
  <si>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</si>
  <si>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 xml:space="preserve">Руководство и управление в сфере установленных функций </t>
  </si>
  <si>
    <t>Условно утвержденные расходы</t>
  </si>
  <si>
    <t>Дворцы и дома культуры,другие учреждения культуры и средств массовой информации</t>
  </si>
  <si>
    <t>Мероприятия в сфере культуры,кинематографии и средств массовой информации</t>
  </si>
  <si>
    <t>Центры спортивной подготовки</t>
  </si>
  <si>
    <t xml:space="preserve"> 2012 год</t>
  </si>
  <si>
    <t>Мероприятия в области жилищного хозяйства</t>
  </si>
  <si>
    <t>Национальная экономика. Общеэкономические вопросы.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</si>
  <si>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</si>
  <si>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РФ</t>
  </si>
  <si>
    <t>Программа "Содействие занятости населения" на 2008-2010 годы</t>
  </si>
  <si>
    <t>Коммунальное хозяйство</t>
  </si>
  <si>
    <t>Мероприятия в области коммунального хозяйства</t>
  </si>
  <si>
    <t>Субсидии юридическим лицам</t>
  </si>
  <si>
    <t>Целевые программы муниципальных образований</t>
  </si>
  <si>
    <t>Безвозмездные перечисления организациям, за исключением государственных и муниципальных организаций</t>
  </si>
  <si>
    <t>Поддержка коммунального хозяйства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</si>
  <si>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</si>
  <si>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</si>
  <si>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</si>
  <si>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2011</t>
  </si>
  <si>
    <t xml:space="preserve">и на плановый период 2012 и 2013 г. </t>
  </si>
  <si>
    <t xml:space="preserve">с=01.01.2011; по=31.12.2011; Баланс=Финансовый орган  </t>
  </si>
  <si>
    <t>650 0113 0000000 000 000</t>
  </si>
  <si>
    <t>650 0113 0010000 000 000</t>
  </si>
  <si>
    <t>650 0113 0013800 000 000</t>
  </si>
  <si>
    <t>650 0113 0013802 500 000</t>
  </si>
  <si>
    <t>650 0113 0013802 500 340</t>
  </si>
  <si>
    <t>650 0113 9990000 000 000</t>
  </si>
  <si>
    <t>650 0113 9990000 999 000</t>
  </si>
  <si>
    <t>650 0113 9990000 999 290</t>
  </si>
  <si>
    <t>650 0113 0930000 000 000</t>
  </si>
  <si>
    <t>650 0113 0939900 000 000</t>
  </si>
  <si>
    <t>650 0113 0939900 500 000</t>
  </si>
  <si>
    <t>650 0113 0939900 500 223</t>
  </si>
  <si>
    <t>650 0113 0939900 500 225</t>
  </si>
  <si>
    <t>650 0113 0939900 500 226</t>
  </si>
  <si>
    <t>Учреждения по обеспечению хозяйственного обслуживания</t>
  </si>
  <si>
    <t>650 0000 0000000 000 000</t>
  </si>
  <si>
    <t>650 0102 0000000 000 000</t>
  </si>
  <si>
    <t>650 0102 0020000 000 000</t>
  </si>
  <si>
    <t>650 0102 0020300 000 000</t>
  </si>
  <si>
    <t>650 0102 0020300 500 000</t>
  </si>
  <si>
    <t>650 0102 0020300 500 211</t>
  </si>
  <si>
    <t>650 0102 0020300 500 213</t>
  </si>
  <si>
    <t>650 0104 0000000 000 000</t>
  </si>
  <si>
    <t>650 0104 0020000 000 000</t>
  </si>
  <si>
    <t>650 0104 0020400 000 000</t>
  </si>
  <si>
    <t>650 0104 0020400 500 000</t>
  </si>
  <si>
    <t>650 0104 0020400 500 211</t>
  </si>
  <si>
    <t>650 0104 0020400 500 212</t>
  </si>
  <si>
    <t>650 0104 0020400 500 213</t>
  </si>
  <si>
    <t>650 0104 0020400 500 221</t>
  </si>
  <si>
    <t>650 0104 0020400 500 222</t>
  </si>
  <si>
    <t>650 0104 0020400 500 223</t>
  </si>
  <si>
    <t>650 0104 0020400 500 225</t>
  </si>
  <si>
    <t>650 0104 0020400 500 226</t>
  </si>
  <si>
    <t>650 0104 0020400 500 262</t>
  </si>
  <si>
    <t>650 0104 0020400 500 290</t>
  </si>
  <si>
    <t>650 0104 0020400 500 310</t>
  </si>
  <si>
    <t>650 0104 0020400 500 340</t>
  </si>
  <si>
    <t>650 0203 0000000 000 000</t>
  </si>
  <si>
    <t>650 0203 0010000 000 000</t>
  </si>
  <si>
    <t>650 0203 0013600 000 000</t>
  </si>
  <si>
    <t>650 0203 0013600 500 000</t>
  </si>
  <si>
    <t>650 0203 0013600 500 211</t>
  </si>
  <si>
    <t>650 0203 0013600 500 212</t>
  </si>
  <si>
    <t>650 0203 0013600 500 213</t>
  </si>
  <si>
    <t>650 0203 0013600 500 221</t>
  </si>
  <si>
    <t>650 0203 0013600 500 223</t>
  </si>
  <si>
    <t>650 0203 0013600 500 226</t>
  </si>
  <si>
    <t>650 0203 0013600 500 340</t>
  </si>
  <si>
    <t>650 0309 0000000 000 000</t>
  </si>
  <si>
    <t>650 0309 2180000 000 000</t>
  </si>
  <si>
    <t>650 0309 2180100 000 000</t>
  </si>
  <si>
    <t>650 0309 2180100 500 000</t>
  </si>
  <si>
    <t>650 0309 2180100 500 310</t>
  </si>
  <si>
    <t>650 0309 2180100 500 340</t>
  </si>
  <si>
    <t>650 0401 0000000 000 000</t>
  </si>
  <si>
    <t>650 0401 5224500 000 000</t>
  </si>
  <si>
    <t>650 0401 5224500 001 000</t>
  </si>
  <si>
    <t>650 0401 5224500 001 225</t>
  </si>
  <si>
    <t>650 0501 0000000 000 000</t>
  </si>
  <si>
    <t>650 0501 3500300 000 000</t>
  </si>
  <si>
    <t>650 0501 3500300 500 000</t>
  </si>
  <si>
    <t>650 0501 3500300 500 225</t>
  </si>
  <si>
    <t>650 0501 3500300 500 226</t>
  </si>
  <si>
    <t>650 0501 3500300 500 310</t>
  </si>
  <si>
    <t>650 0501 3500300 500 340</t>
  </si>
  <si>
    <t>650 0502 0000000 000 000</t>
  </si>
  <si>
    <t>650 0502 3510000 000 000</t>
  </si>
  <si>
    <t>650 0502 3510500 000 000</t>
  </si>
  <si>
    <t>650 0502 3510500 006 000</t>
  </si>
  <si>
    <t>650 0502 3510500 006 242</t>
  </si>
  <si>
    <t>650 0503 0000000 000 000</t>
  </si>
  <si>
    <t>650 0503 6000100 500 000</t>
  </si>
  <si>
    <t>650 0503 6000100 000 000</t>
  </si>
  <si>
    <t>650 0503 6000000 000 000</t>
  </si>
  <si>
    <t>650 0503 6000100 500 222</t>
  </si>
  <si>
    <t>650 0503 6000100 500 223</t>
  </si>
  <si>
    <t>650 0503 6000100 500 225</t>
  </si>
  <si>
    <t>650 0503 6000100 500 226</t>
  </si>
  <si>
    <t>650 0503 6000100 500 340</t>
  </si>
  <si>
    <t>650 0503 6000200 000 000</t>
  </si>
  <si>
    <t>650 0503 6000200 500 000</t>
  </si>
  <si>
    <t>650 0503 6000200 500 222</t>
  </si>
  <si>
    <t>650 0503 6000200 500 225</t>
  </si>
  <si>
    <t>650 0503 6000200 500 340</t>
  </si>
  <si>
    <t>650 0503 6000300 000 000</t>
  </si>
  <si>
    <t>650 0503 6000300 500 000</t>
  </si>
  <si>
    <t>650 0503 6000300 500 225</t>
  </si>
  <si>
    <t>650 0503 6000400 000 000</t>
  </si>
  <si>
    <t>650 0503 6000400 500 000</t>
  </si>
  <si>
    <t>650 0503 6000400 500 225</t>
  </si>
  <si>
    <t>650 0503 6000400 500 226</t>
  </si>
  <si>
    <t>650 0503 6000400 500 340</t>
  </si>
  <si>
    <t>650 0503 6000500 000 000</t>
  </si>
  <si>
    <t>650 0503 6000500 500 000</t>
  </si>
  <si>
    <t>650 0503 6000500 500 222</t>
  </si>
  <si>
    <t>650 0503 6000500 500 223</t>
  </si>
  <si>
    <t>650 0503 6000500 500 225</t>
  </si>
  <si>
    <t>650 0503 6000500 500 226</t>
  </si>
  <si>
    <t>650 0503 6000500 500 310</t>
  </si>
  <si>
    <t>650 0503 6000500 500 340</t>
  </si>
  <si>
    <t>650 0707 0000000 000 000</t>
  </si>
  <si>
    <t>650 0707 7950000 000 000</t>
  </si>
  <si>
    <t>650 0707 7950000 500 000</t>
  </si>
  <si>
    <t>650 0707 7950100 500 290</t>
  </si>
  <si>
    <t>650 0707 7950100 500 340</t>
  </si>
  <si>
    <t>650 0801 0000000 000 000</t>
  </si>
  <si>
    <t>650 0801 4400000 000 000</t>
  </si>
  <si>
    <t>650 0801 4409900 000 000</t>
  </si>
  <si>
    <t>650 0801 4409900 001 000</t>
  </si>
  <si>
    <t>650 0801 4409900 001 211</t>
  </si>
  <si>
    <t>650 0801 4409900 001 212</t>
  </si>
  <si>
    <t>650 0801 4409900 001 213</t>
  </si>
  <si>
    <t>650 0801 4409900 001 221</t>
  </si>
  <si>
    <t>650 0801 4409900 001 222</t>
  </si>
  <si>
    <t>650 0801 4409900 001 223</t>
  </si>
  <si>
    <t>650 0801 4409900 001 225</t>
  </si>
  <si>
    <t>650 0801 4409900 001 226</t>
  </si>
  <si>
    <t>650 0801 4409900 001 290</t>
  </si>
  <si>
    <t>650 0801 4409900 001 310</t>
  </si>
  <si>
    <t>650 0801 4409900 001 340</t>
  </si>
  <si>
    <t>650 0801 4500000 000 000</t>
  </si>
  <si>
    <t>650 0801 4508500 000 000</t>
  </si>
  <si>
    <t>650 0801 4508500 013 000</t>
  </si>
  <si>
    <t>650 0801 4508500 013 290</t>
  </si>
  <si>
    <t>650 1003 0000000 000 000</t>
  </si>
  <si>
    <t>650 1003 5058600 000 000</t>
  </si>
  <si>
    <t>650 1003 5058600 005 000</t>
  </si>
  <si>
    <t>650 1003 5058600 005 262</t>
  </si>
  <si>
    <t>650 0410 0000000 000 000</t>
  </si>
  <si>
    <t>650 0410 3300000 000 000</t>
  </si>
  <si>
    <t>650 0410 3300200 000 000</t>
  </si>
  <si>
    <t>650 0410 3300200 500 000</t>
  </si>
  <si>
    <t>650 0410 3300200 500 221</t>
  </si>
  <si>
    <t>650 0410 3300200 500 226</t>
  </si>
  <si>
    <t>Отдельные мероприятия в области информационно-коммуникационных технологий и связи</t>
  </si>
  <si>
    <t>Информационные технологии и связь</t>
  </si>
  <si>
    <t>650 1101 0000000 000 000</t>
  </si>
  <si>
    <t>650 1101 4820000 000 000</t>
  </si>
  <si>
    <t>650 1101 4829900 000 000</t>
  </si>
  <si>
    <t>650 1101 4829900 001 000</t>
  </si>
  <si>
    <t>650 1101 4829900 001 211</t>
  </si>
  <si>
    <t>650 1101 4829900 001 212</t>
  </si>
  <si>
    <t>650 1101 4829900 001 213</t>
  </si>
  <si>
    <t>650 1101 4829900 001 221</t>
  </si>
  <si>
    <t>650 1101 4829900 001 223</t>
  </si>
  <si>
    <t>650 1101 4829900 001 225</t>
  </si>
  <si>
    <t>650 1101 4829900 001 226</t>
  </si>
  <si>
    <t>650 1101 4829900 001 290</t>
  </si>
  <si>
    <t>650 1101 4829900 001 310</t>
  </si>
  <si>
    <t>650 1101 4829900 001 340</t>
  </si>
  <si>
    <t>650 1101 5129700 000 000</t>
  </si>
  <si>
    <t>650 1101 5129700 500 000</t>
  </si>
  <si>
    <t>650 1101 5129700 500 290</t>
  </si>
  <si>
    <t>650 0107 0000000 000 000</t>
  </si>
  <si>
    <t>650 0107 0200002 000 000</t>
  </si>
  <si>
    <t>650 0107 0200002 500 000</t>
  </si>
  <si>
    <t>650 0107 0200002 500 292</t>
  </si>
  <si>
    <t>650 0107 0200003 500 292</t>
  </si>
  <si>
    <t>650 0107 0200003 500 000</t>
  </si>
  <si>
    <t>650 0114 0013802 500 310</t>
  </si>
  <si>
    <t>650 0203 0013600 500 222</t>
  </si>
  <si>
    <t>650 0203 0013600 500 225</t>
  </si>
  <si>
    <t>650 0203 0013600 500 310</t>
  </si>
  <si>
    <t>650 0401 5100000 000 000</t>
  </si>
  <si>
    <t>650 0401 5100301 000 000</t>
  </si>
  <si>
    <t>650 0401 5100301 001 000</t>
  </si>
  <si>
    <t>650 0401 5100302 000 000</t>
  </si>
  <si>
    <t>650 0401 5100302 001 000</t>
  </si>
  <si>
    <t>650 0801 4409900 001 343</t>
  </si>
  <si>
    <t>650 1101 4829900 001 222</t>
  </si>
  <si>
    <t>650 1101 4829900 001 262</t>
  </si>
  <si>
    <t>650 1101 4829900 001 343</t>
  </si>
  <si>
    <t>650 1101 5129700 500 226</t>
  </si>
  <si>
    <t>650 1101 5129700 500 343</t>
  </si>
  <si>
    <t>650 1003 5140100 000 000</t>
  </si>
  <si>
    <t>650 1003 5140100 013 000</t>
  </si>
  <si>
    <t>650 1003 5140100 013 226</t>
  </si>
  <si>
    <t>650 0503 6000200 500 226</t>
  </si>
  <si>
    <t xml:space="preserve"> 2013 год</t>
  </si>
  <si>
    <t>650 0503 6000200 500 310</t>
  </si>
  <si>
    <t>650 0401 5224500 001 226</t>
  </si>
  <si>
    <t>650 0501 3500300 500 290</t>
  </si>
  <si>
    <t>650 0503 6000500 500 290</t>
  </si>
  <si>
    <t>650 0401 5224500 001 211</t>
  </si>
  <si>
    <t>650 0401 5224500 001 213</t>
  </si>
  <si>
    <t>Программа "Содействие занятости населения" на 2011-2013 годы</t>
  </si>
  <si>
    <t>Национальная экономика. Общеэкономические вопросы</t>
  </si>
  <si>
    <t>650 0113 0920000 500 000</t>
  </si>
  <si>
    <t>650 0113 0920305 500 000</t>
  </si>
  <si>
    <t>650 0113 0920305 500 212</t>
  </si>
  <si>
    <t>Выполнение других обязательств государства</t>
  </si>
  <si>
    <t>650 0111 0000000 000 000</t>
  </si>
  <si>
    <t>650 0309 2180100 500 225</t>
  </si>
  <si>
    <t>650 0111 0700500 000 000</t>
  </si>
  <si>
    <t>650 0111 0700500 013 000</t>
  </si>
  <si>
    <t>650 0111 0700500 013 292</t>
  </si>
  <si>
    <t>не доделано!!! Льготный проезд управление 100000 во 2 кв.</t>
  </si>
  <si>
    <t>650 0707 7950100 500 310</t>
  </si>
  <si>
    <t>650 0309 2180100 500 226</t>
  </si>
  <si>
    <t>650 0111 0700500 013 290</t>
  </si>
  <si>
    <t>650 0503 6000400 500 222</t>
  </si>
  <si>
    <t>650 0113 0013802 500 310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</si>
</sst>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16">
    <font>
      <sz val="10"/>
      <name val="Arial Cyr"/>
      <family val="0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i/>
      <sz val="9"/>
      <color indexed="8"/>
      <name val="Times New Roman"/>
      <family val="1"/>
    </font>
    <font>
      <b/>
      <sz val="7"/>
      <color indexed="8"/>
      <name val="Tahoma"/>
      <family val="2"/>
    </font>
    <font>
      <sz val="8"/>
      <color indexed="8"/>
      <name val="Arial"/>
      <family val="2"/>
    </font>
    <font>
      <b/>
      <i/>
      <sz val="9"/>
      <color indexed="8"/>
      <name val="Times New Roman"/>
      <family val="1"/>
    </font>
    <font>
      <sz val="10"/>
      <name val="Times New Roman"/>
      <family val="0"/>
    </font>
    <font>
      <sz val="8"/>
      <name val="Arial Cyr"/>
      <family val="0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6"/>
      <color indexed="8"/>
      <name val="Arial"/>
      <family val="2"/>
    </font>
    <font>
      <sz val="9"/>
      <name val="Times New Roman"/>
      <family val="0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 vertical="top" wrapText="1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2" fontId="0" fillId="0" borderId="0" xfId="0" applyNumberFormat="1" applyFill="1" applyAlignment="1">
      <alignment/>
    </xf>
    <xf numFmtId="49" fontId="1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49" fontId="3" fillId="5" borderId="3" xfId="0" applyNumberFormat="1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49" fontId="2" fillId="5" borderId="7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" fontId="0" fillId="4" borderId="0" xfId="0" applyNumberFormat="1" applyFill="1" applyAlignment="1">
      <alignment/>
    </xf>
    <xf numFmtId="4" fontId="2" fillId="3" borderId="14" xfId="0" applyNumberFormat="1" applyFont="1" applyFill="1" applyBorder="1" applyAlignment="1">
      <alignment horizontal="right" vertical="center" wrapText="1"/>
    </xf>
    <xf numFmtId="4" fontId="2" fillId="2" borderId="14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2" fillId="4" borderId="14" xfId="0" applyNumberFormat="1" applyFont="1" applyFill="1" applyBorder="1" applyAlignment="1">
      <alignment horizontal="right" vertical="center" wrapText="1"/>
    </xf>
    <xf numFmtId="4" fontId="2" fillId="4" borderId="15" xfId="0" applyNumberFormat="1" applyFont="1" applyFill="1" applyBorder="1" applyAlignment="1">
      <alignment horizontal="right"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4" fontId="2" fillId="2" borderId="17" xfId="0" applyNumberFormat="1" applyFont="1" applyFill="1" applyBorder="1" applyAlignment="1">
      <alignment horizontal="right" vertical="center" wrapText="1"/>
    </xf>
    <xf numFmtId="4" fontId="2" fillId="3" borderId="6" xfId="0" applyNumberFormat="1" applyFont="1" applyFill="1" applyBorder="1" applyAlignment="1">
      <alignment horizontal="right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Alignment="1">
      <alignment vertical="center" wrapText="1"/>
    </xf>
    <xf numFmtId="4" fontId="2" fillId="4" borderId="16" xfId="0" applyNumberFormat="1" applyFont="1" applyFill="1" applyBorder="1" applyAlignment="1">
      <alignment horizontal="righ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>
      <alignment horizontal="center" vertical="center" wrapText="1"/>
    </xf>
    <xf numFmtId="4" fontId="0" fillId="6" borderId="0" xfId="0" applyNumberFormat="1" applyFill="1" applyAlignment="1">
      <alignment/>
    </xf>
    <xf numFmtId="0" fontId="0" fillId="6" borderId="0" xfId="0" applyFill="1" applyAlignment="1">
      <alignment/>
    </xf>
    <xf numFmtId="49" fontId="5" fillId="0" borderId="22" xfId="0" applyNumberFormat="1" applyFont="1" applyFill="1" applyBorder="1" applyAlignment="1">
      <alignment horizontal="center" vertical="center" wrapText="1"/>
    </xf>
    <xf numFmtId="4" fontId="2" fillId="6" borderId="14" xfId="0" applyNumberFormat="1" applyFont="1" applyFill="1" applyBorder="1" applyAlignment="1">
      <alignment horizontal="right" vertical="center" wrapText="1"/>
    </xf>
    <xf numFmtId="4" fontId="2" fillId="4" borderId="4" xfId="0" applyNumberFormat="1" applyFont="1" applyFill="1" applyBorder="1" applyAlignment="1">
      <alignment horizontal="right" vertical="center" wrapText="1"/>
    </xf>
    <xf numFmtId="4" fontId="2" fillId="3" borderId="9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4" fontId="2" fillId="6" borderId="6" xfId="0" applyNumberFormat="1" applyFont="1" applyFill="1" applyBorder="1" applyAlignment="1">
      <alignment horizontal="right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2" fillId="4" borderId="6" xfId="0" applyNumberFormat="1" applyFont="1" applyFill="1" applyBorder="1" applyAlignment="1">
      <alignment horizontal="right" vertical="center" wrapText="1"/>
    </xf>
    <xf numFmtId="4" fontId="2" fillId="2" borderId="20" xfId="0" applyNumberFormat="1" applyFont="1" applyFill="1" applyBorder="1" applyAlignment="1">
      <alignment horizontal="right" vertical="center" wrapText="1"/>
    </xf>
    <xf numFmtId="4" fontId="2" fillId="0" borderId="20" xfId="0" applyNumberFormat="1" applyFont="1" applyFill="1" applyBorder="1" applyAlignment="1">
      <alignment horizontal="right" vertical="center" wrapText="1"/>
    </xf>
    <xf numFmtId="4" fontId="2" fillId="4" borderId="20" xfId="0" applyNumberFormat="1" applyFont="1" applyFill="1" applyBorder="1" applyAlignment="1">
      <alignment horizontal="right" vertical="center" wrapText="1"/>
    </xf>
    <xf numFmtId="4" fontId="2" fillId="2" borderId="23" xfId="0" applyNumberFormat="1" applyFont="1" applyFill="1" applyBorder="1" applyAlignment="1">
      <alignment horizontal="right" vertical="center" wrapText="1"/>
    </xf>
    <xf numFmtId="4" fontId="2" fillId="4" borderId="24" xfId="0" applyNumberFormat="1" applyFont="1" applyFill="1" applyBorder="1" applyAlignment="1">
      <alignment horizontal="right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 wrapText="1"/>
    </xf>
    <xf numFmtId="4" fontId="10" fillId="3" borderId="8" xfId="0" applyNumberFormat="1" applyFont="1" applyFill="1" applyBorder="1" applyAlignment="1">
      <alignment horizontal="right" vertical="center" wrapText="1"/>
    </xf>
    <xf numFmtId="4" fontId="10" fillId="3" borderId="14" xfId="0" applyNumberFormat="1" applyFont="1" applyFill="1" applyBorder="1" applyAlignment="1">
      <alignment horizontal="right" vertical="center" wrapText="1"/>
    </xf>
    <xf numFmtId="4" fontId="8" fillId="4" borderId="0" xfId="0" applyNumberFormat="1" applyFont="1" applyFill="1" applyAlignment="1">
      <alignment/>
    </xf>
    <xf numFmtId="0" fontId="8" fillId="3" borderId="0" xfId="0" applyFont="1" applyFill="1" applyAlignment="1">
      <alignment/>
    </xf>
    <xf numFmtId="49" fontId="10" fillId="2" borderId="20" xfId="0" applyNumberFormat="1" applyFont="1" applyFill="1" applyBorder="1" applyAlignment="1">
      <alignment horizontal="center" vertical="center" wrapText="1"/>
    </xf>
    <xf numFmtId="4" fontId="10" fillId="2" borderId="8" xfId="0" applyNumberFormat="1" applyFont="1" applyFill="1" applyBorder="1" applyAlignment="1">
      <alignment horizontal="right" vertical="center" wrapText="1"/>
    </xf>
    <xf numFmtId="4" fontId="10" fillId="2" borderId="14" xfId="0" applyNumberFormat="1" applyFont="1" applyFill="1" applyBorder="1" applyAlignment="1">
      <alignment horizontal="right" vertical="center" wrapText="1"/>
    </xf>
    <xf numFmtId="4" fontId="8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4" fontId="10" fillId="0" borderId="8" xfId="0" applyNumberFormat="1" applyFont="1" applyFill="1" applyBorder="1" applyAlignment="1">
      <alignment horizontal="right" vertical="center" wrapText="1"/>
    </xf>
    <xf numFmtId="4" fontId="10" fillId="0" borderId="14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2" fillId="2" borderId="25" xfId="0" applyNumberFormat="1" applyFont="1" applyFill="1" applyBorder="1" applyAlignment="1">
      <alignment horizontal="right" vertical="center" wrapText="1"/>
    </xf>
    <xf numFmtId="4" fontId="2" fillId="4" borderId="26" xfId="0" applyNumberFormat="1" applyFont="1" applyFill="1" applyBorder="1" applyAlignment="1">
      <alignment horizontal="right" vertical="center" wrapText="1"/>
    </xf>
    <xf numFmtId="4" fontId="2" fillId="2" borderId="27" xfId="0" applyNumberFormat="1" applyFont="1" applyFill="1" applyBorder="1" applyAlignment="1">
      <alignment horizontal="right" vertical="center" wrapText="1"/>
    </xf>
    <xf numFmtId="4" fontId="2" fillId="0" borderId="27" xfId="0" applyNumberFormat="1" applyFont="1" applyFill="1" applyBorder="1" applyAlignment="1">
      <alignment horizontal="right" vertical="center" wrapText="1"/>
    </xf>
    <xf numFmtId="4" fontId="2" fillId="4" borderId="27" xfId="0" applyNumberFormat="1" applyFont="1" applyFill="1" applyBorder="1" applyAlignment="1">
      <alignment horizontal="right" vertical="center" wrapText="1"/>
    </xf>
    <xf numFmtId="4" fontId="10" fillId="4" borderId="14" xfId="0" applyNumberFormat="1" applyFont="1" applyFill="1" applyBorder="1" applyAlignment="1">
      <alignment horizontal="right" vertical="center" wrapText="1"/>
    </xf>
    <xf numFmtId="4" fontId="10" fillId="3" borderId="6" xfId="0" applyNumberFormat="1" applyFont="1" applyFill="1" applyBorder="1" applyAlignment="1">
      <alignment horizontal="right" vertical="center" wrapText="1"/>
    </xf>
    <xf numFmtId="4" fontId="10" fillId="2" borderId="6" xfId="0" applyNumberFormat="1" applyFont="1" applyFill="1" applyBorder="1" applyAlignment="1">
      <alignment horizontal="right" vertical="center" wrapText="1"/>
    </xf>
    <xf numFmtId="4" fontId="10" fillId="0" borderId="6" xfId="0" applyNumberFormat="1" applyFont="1" applyFill="1" applyBorder="1" applyAlignment="1">
      <alignment horizontal="right" vertical="center" wrapText="1"/>
    </xf>
    <xf numFmtId="4" fontId="10" fillId="4" borderId="6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3" borderId="20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right" vertical="center" wrapText="1"/>
    </xf>
    <xf numFmtId="4" fontId="2" fillId="6" borderId="8" xfId="0" applyNumberFormat="1" applyFont="1" applyFill="1" applyBorder="1" applyAlignment="1">
      <alignment horizontal="right" vertical="center" wrapText="1"/>
    </xf>
    <xf numFmtId="4" fontId="10" fillId="4" borderId="9" xfId="0" applyNumberFormat="1" applyFont="1" applyFill="1" applyBorder="1" applyAlignment="1">
      <alignment horizontal="right" vertical="center" wrapText="1"/>
    </xf>
    <xf numFmtId="4" fontId="10" fillId="4" borderId="8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4" fontId="2" fillId="2" borderId="8" xfId="0" applyNumberFormat="1" applyFont="1" applyFill="1" applyBorder="1" applyAlignment="1">
      <alignment horizontal="right" vertical="center" wrapText="1"/>
    </xf>
    <xf numFmtId="4" fontId="2" fillId="4" borderId="8" xfId="0" applyNumberFormat="1" applyFont="1" applyFill="1" applyBorder="1" applyAlignment="1">
      <alignment horizontal="right" vertical="center" wrapText="1"/>
    </xf>
    <xf numFmtId="4" fontId="15" fillId="0" borderId="28" xfId="0" applyNumberFormat="1" applyFont="1" applyFill="1" applyBorder="1" applyAlignment="1">
      <alignment horizontal="right" vertical="center" wrapText="1"/>
    </xf>
    <xf numFmtId="4" fontId="2" fillId="4" borderId="29" xfId="0" applyNumberFormat="1" applyFont="1" applyFill="1" applyBorder="1" applyAlignment="1">
      <alignment horizontal="right" vertical="center" wrapText="1"/>
    </xf>
    <xf numFmtId="4" fontId="2" fillId="6" borderId="9" xfId="0" applyNumberFormat="1" applyFont="1" applyFill="1" applyBorder="1" applyAlignment="1">
      <alignment horizontal="right" vertical="center" wrapText="1"/>
    </xf>
    <xf numFmtId="4" fontId="2" fillId="2" borderId="9" xfId="0" applyNumberFormat="1" applyFont="1" applyFill="1" applyBorder="1" applyAlignment="1">
      <alignment horizontal="right" vertical="center" wrapText="1"/>
    </xf>
    <xf numFmtId="4" fontId="2" fillId="4" borderId="9" xfId="0" applyNumberFormat="1" applyFont="1" applyFill="1" applyBorder="1" applyAlignment="1">
      <alignment horizontal="right" vertical="center" wrapText="1"/>
    </xf>
    <xf numFmtId="4" fontId="10" fillId="3" borderId="9" xfId="0" applyNumberFormat="1" applyFont="1" applyFill="1" applyBorder="1" applyAlignment="1">
      <alignment horizontal="right" vertical="center" wrapText="1"/>
    </xf>
    <xf numFmtId="4" fontId="10" fillId="2" borderId="9" xfId="0" applyNumberFormat="1" applyFont="1" applyFill="1" applyBorder="1" applyAlignment="1">
      <alignment horizontal="right" vertical="center" wrapText="1"/>
    </xf>
    <xf numFmtId="4" fontId="10" fillId="0" borderId="9" xfId="0" applyNumberFormat="1" applyFont="1" applyFill="1" applyBorder="1" applyAlignment="1">
      <alignment horizontal="right" vertical="center" wrapText="1"/>
    </xf>
    <xf numFmtId="4" fontId="2" fillId="4" borderId="30" xfId="0" applyNumberFormat="1" applyFont="1" applyFill="1" applyBorder="1" applyAlignment="1">
      <alignment horizontal="right" vertical="center" wrapText="1"/>
    </xf>
    <xf numFmtId="4" fontId="2" fillId="4" borderId="7" xfId="0" applyNumberFormat="1" applyFont="1" applyFill="1" applyBorder="1" applyAlignment="1">
      <alignment horizontal="right" vertical="center" wrapText="1"/>
    </xf>
    <xf numFmtId="4" fontId="2" fillId="4" borderId="2" xfId="0" applyNumberFormat="1" applyFont="1" applyFill="1" applyBorder="1" applyAlignment="1">
      <alignment horizontal="right" vertical="center" wrapText="1"/>
    </xf>
    <xf numFmtId="4" fontId="2" fillId="4" borderId="17" xfId="0" applyNumberFormat="1" applyFont="1" applyFill="1" applyBorder="1" applyAlignment="1">
      <alignment horizontal="right" vertical="center" wrapText="1"/>
    </xf>
    <xf numFmtId="4" fontId="2" fillId="4" borderId="10" xfId="0" applyNumberFormat="1" applyFont="1" applyFill="1" applyBorder="1" applyAlignment="1">
      <alignment horizontal="right" vertical="center" wrapText="1"/>
    </xf>
    <xf numFmtId="4" fontId="2" fillId="0" borderId="31" xfId="0" applyNumberFormat="1" applyFont="1" applyFill="1" applyBorder="1" applyAlignment="1">
      <alignment horizontal="right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4" fontId="2" fillId="4" borderId="34" xfId="0" applyNumberFormat="1" applyFont="1" applyFill="1" applyBorder="1" applyAlignment="1">
      <alignment horizontal="right" vertical="center" wrapText="1"/>
    </xf>
    <xf numFmtId="4" fontId="2" fillId="4" borderId="12" xfId="0" applyNumberFormat="1" applyFont="1" applyFill="1" applyBorder="1" applyAlignment="1">
      <alignment horizontal="right" vertical="center" wrapText="1"/>
    </xf>
    <xf numFmtId="4" fontId="2" fillId="4" borderId="23" xfId="0" applyNumberFormat="1" applyFont="1" applyFill="1" applyBorder="1" applyAlignment="1">
      <alignment horizontal="right" vertical="center" wrapText="1"/>
    </xf>
    <xf numFmtId="4" fontId="2" fillId="4" borderId="25" xfId="0" applyNumberFormat="1" applyFont="1" applyFill="1" applyBorder="1" applyAlignment="1">
      <alignment horizontal="right" vertical="center" wrapText="1"/>
    </xf>
    <xf numFmtId="4" fontId="2" fillId="3" borderId="35" xfId="0" applyNumberFormat="1" applyFont="1" applyFill="1" applyBorder="1" applyAlignment="1">
      <alignment horizontal="right" vertical="center" wrapText="1"/>
    </xf>
    <xf numFmtId="4" fontId="2" fillId="3" borderId="36" xfId="0" applyNumberFormat="1" applyFont="1" applyFill="1" applyBorder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right" vertical="center" wrapText="1"/>
    </xf>
    <xf numFmtId="4" fontId="2" fillId="6" borderId="31" xfId="0" applyNumberFormat="1" applyFont="1" applyFill="1" applyBorder="1" applyAlignment="1">
      <alignment horizontal="right" vertical="center" wrapText="1"/>
    </xf>
    <xf numFmtId="4" fontId="2" fillId="2" borderId="31" xfId="0" applyNumberFormat="1" applyFont="1" applyFill="1" applyBorder="1" applyAlignment="1">
      <alignment horizontal="right" vertical="center" wrapText="1"/>
    </xf>
    <xf numFmtId="4" fontId="2" fillId="4" borderId="31" xfId="0" applyNumberFormat="1" applyFont="1" applyFill="1" applyBorder="1" applyAlignment="1">
      <alignment horizontal="right" vertical="center" wrapText="1"/>
    </xf>
    <xf numFmtId="4" fontId="2" fillId="3" borderId="31" xfId="0" applyNumberFormat="1" applyFont="1" applyFill="1" applyBorder="1" applyAlignment="1">
      <alignment horizontal="right" vertical="center" wrapText="1"/>
    </xf>
    <xf numFmtId="4" fontId="10" fillId="3" borderId="31" xfId="0" applyNumberFormat="1" applyFont="1" applyFill="1" applyBorder="1" applyAlignment="1">
      <alignment horizontal="right" vertical="center" wrapText="1"/>
    </xf>
    <xf numFmtId="4" fontId="10" fillId="2" borderId="31" xfId="0" applyNumberFormat="1" applyFont="1" applyFill="1" applyBorder="1" applyAlignment="1">
      <alignment horizontal="right" vertical="center" wrapText="1"/>
    </xf>
    <xf numFmtId="4" fontId="10" fillId="0" borderId="31" xfId="0" applyNumberFormat="1" applyFont="1" applyFill="1" applyBorder="1" applyAlignment="1">
      <alignment horizontal="right" vertical="center" wrapText="1"/>
    </xf>
    <xf numFmtId="4" fontId="10" fillId="4" borderId="31" xfId="0" applyNumberFormat="1" applyFont="1" applyFill="1" applyBorder="1" applyAlignment="1">
      <alignment horizontal="right" vertical="center" wrapText="1"/>
    </xf>
    <xf numFmtId="4" fontId="2" fillId="0" borderId="37" xfId="0" applyNumberFormat="1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2" fillId="0" borderId="38" xfId="0" applyNumberFormat="1" applyFont="1" applyFill="1" applyBorder="1" applyAlignment="1">
      <alignment horizontal="right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left" vertical="top" wrapText="1"/>
      <protection/>
    </xf>
    <xf numFmtId="0" fontId="13" fillId="2" borderId="8" xfId="0" applyNumberFormat="1" applyFont="1" applyFill="1" applyBorder="1" applyAlignment="1" applyProtection="1">
      <alignment horizontal="left" vertical="top" wrapText="1"/>
      <protection/>
    </xf>
    <xf numFmtId="4" fontId="0" fillId="2" borderId="0" xfId="0" applyNumberFormat="1" applyFill="1" applyAlignment="1">
      <alignment/>
    </xf>
    <xf numFmtId="4" fontId="0" fillId="0" borderId="0" xfId="0" applyNumberFormat="1" applyFill="1" applyAlignment="1">
      <alignment/>
    </xf>
    <xf numFmtId="2" fontId="2" fillId="0" borderId="0" xfId="0" applyNumberFormat="1" applyFont="1" applyFill="1" applyAlignment="1">
      <alignment vertical="center" wrapText="1"/>
    </xf>
    <xf numFmtId="49" fontId="14" fillId="4" borderId="25" xfId="0" applyNumberFormat="1" applyFont="1" applyFill="1" applyBorder="1" applyAlignment="1">
      <alignment horizontal="left" vertical="center" wrapText="1"/>
    </xf>
    <xf numFmtId="49" fontId="14" fillId="4" borderId="2" xfId="0" applyNumberFormat="1" applyFont="1" applyFill="1" applyBorder="1" applyAlignment="1">
      <alignment horizontal="left" vertical="center" wrapText="1"/>
    </xf>
    <xf numFmtId="49" fontId="2" fillId="3" borderId="31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2" fillId="4" borderId="39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23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49" fontId="5" fillId="0" borderId="4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righ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2" fillId="3" borderId="20" xfId="0" applyNumberFormat="1" applyFont="1" applyFill="1" applyBorder="1" applyAlignment="1">
      <alignment horizontal="center" vertical="center" wrapText="1"/>
    </xf>
    <xf numFmtId="49" fontId="14" fillId="3" borderId="16" xfId="0" applyNumberFormat="1" applyFont="1" applyFill="1" applyBorder="1" applyAlignment="1">
      <alignment horizontal="left" vertical="center" wrapText="1"/>
    </xf>
    <xf numFmtId="49" fontId="14" fillId="3" borderId="8" xfId="0" applyNumberFormat="1" applyFont="1" applyFill="1" applyBorder="1" applyAlignment="1">
      <alignment horizontal="left" vertical="center" wrapText="1"/>
    </xf>
    <xf numFmtId="49" fontId="2" fillId="6" borderId="31" xfId="0" applyNumberFormat="1" applyFont="1" applyFill="1" applyBorder="1" applyAlignment="1">
      <alignment horizontal="center" vertical="center" wrapText="1"/>
    </xf>
    <xf numFmtId="49" fontId="2" fillId="6" borderId="8" xfId="0" applyNumberFormat="1" applyFont="1" applyFill="1" applyBorder="1" applyAlignment="1">
      <alignment horizontal="center" vertical="center" wrapText="1"/>
    </xf>
    <xf numFmtId="49" fontId="14" fillId="6" borderId="16" xfId="0" applyNumberFormat="1" applyFont="1" applyFill="1" applyBorder="1" applyAlignment="1">
      <alignment horizontal="left" vertical="center" wrapText="1"/>
    </xf>
    <xf numFmtId="49" fontId="14" fillId="6" borderId="8" xfId="0" applyNumberFormat="1" applyFont="1" applyFill="1" applyBorder="1" applyAlignment="1">
      <alignment horizontal="left" vertical="center" wrapText="1"/>
    </xf>
    <xf numFmtId="49" fontId="2" fillId="2" borderId="31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49" fontId="14" fillId="2" borderId="16" xfId="0" applyNumberFormat="1" applyFont="1" applyFill="1" applyBorder="1" applyAlignment="1">
      <alignment horizontal="left" vertical="center" wrapText="1"/>
    </xf>
    <xf numFmtId="49" fontId="14" fillId="2" borderId="8" xfId="0" applyNumberFormat="1" applyFont="1" applyFill="1" applyBorder="1" applyAlignment="1">
      <alignment horizontal="left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left" vertical="center" wrapText="1"/>
    </xf>
    <xf numFmtId="49" fontId="14" fillId="0" borderId="8" xfId="0" applyNumberFormat="1" applyFont="1" applyFill="1" applyBorder="1" applyAlignment="1">
      <alignment horizontal="left" vertical="center" wrapText="1"/>
    </xf>
    <xf numFmtId="0" fontId="13" fillId="0" borderId="16" xfId="0" applyNumberFormat="1" applyFont="1" applyFill="1" applyBorder="1" applyAlignment="1" applyProtection="1">
      <alignment horizontal="left" vertical="top" wrapText="1"/>
      <protection/>
    </xf>
    <xf numFmtId="0" fontId="13" fillId="0" borderId="8" xfId="0" applyNumberFormat="1" applyFont="1" applyFill="1" applyBorder="1" applyAlignment="1" applyProtection="1">
      <alignment horizontal="left" vertical="top" wrapText="1"/>
      <protection/>
    </xf>
    <xf numFmtId="0" fontId="13" fillId="3" borderId="16" xfId="0" applyNumberFormat="1" applyFont="1" applyFill="1" applyBorder="1" applyAlignment="1" applyProtection="1">
      <alignment horizontal="left" vertical="top" wrapText="1"/>
      <protection/>
    </xf>
    <xf numFmtId="0" fontId="13" fillId="3" borderId="8" xfId="0" applyNumberFormat="1" applyFont="1" applyFill="1" applyBorder="1" applyAlignment="1" applyProtection="1">
      <alignment horizontal="left" vertical="top" wrapText="1"/>
      <protection/>
    </xf>
    <xf numFmtId="0" fontId="13" fillId="2" borderId="16" xfId="0" applyNumberFormat="1" applyFont="1" applyFill="1" applyBorder="1" applyAlignment="1" applyProtection="1">
      <alignment horizontal="left" vertical="top" wrapText="1"/>
      <protection/>
    </xf>
    <xf numFmtId="0" fontId="13" fillId="2" borderId="8" xfId="0" applyNumberFormat="1" applyFont="1" applyFill="1" applyBorder="1" applyAlignment="1" applyProtection="1">
      <alignment horizontal="left" vertical="top" wrapText="1"/>
      <protection/>
    </xf>
    <xf numFmtId="49" fontId="2" fillId="6" borderId="20" xfId="0" applyNumberFormat="1" applyFont="1" applyFill="1" applyBorder="1" applyAlignment="1">
      <alignment horizontal="center" vertical="center" wrapText="1"/>
    </xf>
    <xf numFmtId="0" fontId="13" fillId="6" borderId="16" xfId="0" applyNumberFormat="1" applyFont="1" applyFill="1" applyBorder="1" applyAlignment="1" applyProtection="1">
      <alignment horizontal="left" vertical="top" wrapText="1"/>
      <protection/>
    </xf>
    <xf numFmtId="0" fontId="13" fillId="6" borderId="8" xfId="0" applyNumberFormat="1" applyFont="1" applyFill="1" applyBorder="1" applyAlignment="1" applyProtection="1">
      <alignment horizontal="left" vertical="top" wrapText="1"/>
      <protection/>
    </xf>
    <xf numFmtId="49" fontId="10" fillId="3" borderId="31" xfId="0" applyNumberFormat="1" applyFont="1" applyFill="1" applyBorder="1" applyAlignment="1">
      <alignment horizontal="center" vertical="center" wrapText="1"/>
    </xf>
    <xf numFmtId="49" fontId="10" fillId="3" borderId="8" xfId="0" applyNumberFormat="1" applyFont="1" applyFill="1" applyBorder="1" applyAlignment="1">
      <alignment horizontal="center" vertical="center" wrapText="1"/>
    </xf>
    <xf numFmtId="49" fontId="10" fillId="3" borderId="20" xfId="0" applyNumberFormat="1" applyFont="1" applyFill="1" applyBorder="1" applyAlignment="1">
      <alignment horizontal="center" vertical="center" wrapText="1"/>
    </xf>
    <xf numFmtId="49" fontId="10" fillId="3" borderId="16" xfId="0" applyNumberFormat="1" applyFont="1" applyFill="1" applyBorder="1" applyAlignment="1">
      <alignment horizontal="left" vertical="center" wrapText="1"/>
    </xf>
    <xf numFmtId="49" fontId="10" fillId="3" borderId="8" xfId="0" applyNumberFormat="1" applyFont="1" applyFill="1" applyBorder="1" applyAlignment="1">
      <alignment horizontal="left" vertical="center" wrapText="1"/>
    </xf>
    <xf numFmtId="49" fontId="10" fillId="2" borderId="31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10" fillId="2" borderId="16" xfId="0" applyNumberFormat="1" applyFont="1" applyFill="1" applyBorder="1" applyAlignment="1">
      <alignment horizontal="left" vertical="center" wrapText="1"/>
    </xf>
    <xf numFmtId="49" fontId="10" fillId="2" borderId="8" xfId="0" applyNumberFormat="1" applyFont="1" applyFill="1" applyBorder="1" applyAlignment="1">
      <alignment horizontal="left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left" vertical="center" wrapText="1"/>
    </xf>
    <xf numFmtId="49" fontId="10" fillId="0" borderId="8" xfId="0" applyNumberFormat="1" applyFont="1" applyFill="1" applyBorder="1" applyAlignment="1">
      <alignment horizontal="left" vertical="center" wrapText="1"/>
    </xf>
    <xf numFmtId="0" fontId="13" fillId="3" borderId="16" xfId="0" applyNumberFormat="1" applyFont="1" applyFill="1" applyBorder="1" applyAlignment="1" applyProtection="1">
      <alignment horizontal="left" vertical="top"/>
      <protection/>
    </xf>
    <xf numFmtId="0" fontId="13" fillId="3" borderId="8" xfId="0" applyNumberFormat="1" applyFont="1" applyFill="1" applyBorder="1" applyAlignment="1" applyProtection="1">
      <alignment horizontal="left" vertical="top"/>
      <protection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2" fillId="3" borderId="16" xfId="0" applyNumberFormat="1" applyFont="1" applyFill="1" applyBorder="1" applyAlignment="1">
      <alignment horizontal="left" vertical="center" wrapText="1"/>
    </xf>
    <xf numFmtId="49" fontId="2" fillId="3" borderId="8" xfId="0" applyNumberFormat="1" applyFont="1" applyFill="1" applyBorder="1" applyAlignment="1">
      <alignment horizontal="left" vertical="center" wrapText="1"/>
    </xf>
    <xf numFmtId="49" fontId="2" fillId="2" borderId="16" xfId="0" applyNumberFormat="1" applyFont="1" applyFill="1" applyBorder="1" applyAlignment="1">
      <alignment horizontal="left" vertical="center" wrapText="1"/>
    </xf>
    <xf numFmtId="49" fontId="2" fillId="2" borderId="8" xfId="0" applyNumberFormat="1" applyFont="1" applyFill="1" applyBorder="1" applyAlignment="1">
      <alignment horizontal="left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3" fillId="0" borderId="16" xfId="0" applyNumberFormat="1" applyFont="1" applyFill="1" applyBorder="1" applyAlignment="1" applyProtection="1">
      <alignment horizontal="left" vertical="top" wrapText="1"/>
      <protection/>
    </xf>
    <xf numFmtId="0" fontId="13" fillId="0" borderId="8" xfId="0" applyNumberFormat="1" applyFont="1" applyFill="1" applyBorder="1" applyAlignment="1" applyProtection="1">
      <alignment horizontal="left" vertical="top" wrapText="1"/>
      <protection/>
    </xf>
    <xf numFmtId="0" fontId="8" fillId="0" borderId="26" xfId="0" applyNumberFormat="1" applyFont="1" applyFill="1" applyBorder="1" applyAlignment="1" applyProtection="1">
      <alignment horizontal="left" vertical="top" wrapText="1"/>
      <protection/>
    </xf>
    <xf numFmtId="0" fontId="8" fillId="0" borderId="51" xfId="0" applyNumberFormat="1" applyFont="1" applyFill="1" applyBorder="1" applyAlignment="1" applyProtection="1">
      <alignment horizontal="left" vertical="top" wrapText="1"/>
      <protection/>
    </xf>
    <xf numFmtId="49" fontId="3" fillId="0" borderId="41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 vertical="top" wrapText="1"/>
    </xf>
    <xf numFmtId="0" fontId="2" fillId="7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14" fillId="0" borderId="9" xfId="0" applyNumberFormat="1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3"/>
  <sheetViews>
    <sheetView zoomScale="85" zoomScaleNormal="85" workbookViewId="0" topLeftCell="D62">
      <selection activeCell="V4" sqref="V4"/>
    </sheetView>
  </sheetViews>
  <sheetFormatPr defaultColWidth="9.00390625" defaultRowHeight="12.75"/>
  <cols>
    <col min="1" max="1" width="7.00390625" style="1" customWidth="1"/>
    <col min="2" max="2" width="5.75390625" style="1" customWidth="1"/>
    <col min="3" max="3" width="3.75390625" style="1" customWidth="1"/>
    <col min="4" max="4" width="0.12890625" style="1" customWidth="1"/>
    <col min="5" max="5" width="3.125" style="1" customWidth="1"/>
    <col min="6" max="6" width="0.2421875" style="1" customWidth="1"/>
    <col min="7" max="7" width="10.75390625" style="1" customWidth="1"/>
    <col min="8" max="8" width="11.75390625" style="1" customWidth="1"/>
    <col min="9" max="9" width="0.12890625" style="1" customWidth="1"/>
    <col min="10" max="10" width="3.75390625" style="1" customWidth="1"/>
    <col min="11" max="11" width="15.75390625" style="1" customWidth="1"/>
    <col min="12" max="12" width="3.75390625" style="1" customWidth="1"/>
    <col min="13" max="13" width="4.75390625" style="1" customWidth="1"/>
    <col min="14" max="14" width="1.12109375" style="1" customWidth="1"/>
    <col min="15" max="15" width="1.75390625" style="1" customWidth="1"/>
    <col min="16" max="16" width="4.625" style="1" customWidth="1"/>
    <col min="17" max="17" width="0.74609375" style="1" customWidth="1"/>
    <col min="18" max="18" width="13.625" style="1" customWidth="1"/>
    <col min="19" max="22" width="12.25390625" style="1" customWidth="1"/>
    <col min="23" max="23" width="13.375" style="1" customWidth="1"/>
    <col min="24" max="24" width="13.625" style="1" customWidth="1"/>
    <col min="25" max="25" width="14.375" style="1" customWidth="1"/>
    <col min="26" max="16384" width="9.125" style="1" customWidth="1"/>
  </cols>
  <sheetData>
    <row r="1" spans="1:24" ht="19.5" customHeight="1" thickBo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41"/>
      <c r="X1" s="41"/>
    </row>
    <row r="2" spans="1:24" ht="14.25" customHeight="1" thickBot="1">
      <c r="A2" s="102"/>
      <c r="B2" s="102"/>
      <c r="C2" s="102"/>
      <c r="D2" s="102"/>
      <c r="E2" s="102"/>
      <c r="F2" s="102"/>
      <c r="G2" s="102"/>
      <c r="H2" s="102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4" t="s">
        <v>1</v>
      </c>
      <c r="W2" s="68"/>
      <c r="X2" s="68"/>
    </row>
    <row r="3" spans="1:24" ht="18" customHeight="1">
      <c r="A3" s="158" t="s">
        <v>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9" t="s">
        <v>113</v>
      </c>
      <c r="M3" s="159"/>
      <c r="N3" s="159"/>
      <c r="O3" s="157" t="s">
        <v>3</v>
      </c>
      <c r="P3" s="157"/>
      <c r="Q3" s="7"/>
      <c r="R3" s="7"/>
      <c r="S3" s="7"/>
      <c r="T3" s="7"/>
      <c r="U3" s="8" t="s">
        <v>4</v>
      </c>
      <c r="V3" s="15" t="s">
        <v>113</v>
      </c>
      <c r="W3" s="94"/>
      <c r="X3" s="94"/>
    </row>
    <row r="4" spans="1:24" ht="1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244" t="s">
        <v>114</v>
      </c>
      <c r="L4" s="244"/>
      <c r="M4" s="244"/>
      <c r="N4" s="244"/>
      <c r="O4" s="244"/>
      <c r="P4" s="244"/>
      <c r="Q4" s="244"/>
      <c r="R4" s="244"/>
      <c r="S4" s="11"/>
      <c r="T4" s="11"/>
      <c r="U4" s="8" t="s">
        <v>5</v>
      </c>
      <c r="V4" s="139">
        <f>СБР!V4</f>
        <v>40788</v>
      </c>
      <c r="W4" s="94"/>
      <c r="X4" s="94"/>
    </row>
    <row r="5" spans="1:24" ht="18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9"/>
      <c r="V5" s="16"/>
      <c r="W5" s="95"/>
      <c r="X5" s="95"/>
    </row>
    <row r="6" spans="1:24" ht="18.75" customHeight="1">
      <c r="A6" s="160" t="s">
        <v>6</v>
      </c>
      <c r="B6" s="160"/>
      <c r="C6" s="160"/>
      <c r="D6" s="160"/>
      <c r="E6" s="160"/>
      <c r="F6" s="161" t="s">
        <v>72</v>
      </c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9"/>
      <c r="T6" s="19"/>
      <c r="U6" s="23" t="s">
        <v>7</v>
      </c>
      <c r="V6" s="17">
        <v>79546239</v>
      </c>
      <c r="W6" s="95"/>
      <c r="X6" s="95"/>
    </row>
    <row r="7" spans="1:24" ht="12.75">
      <c r="A7" s="160" t="s">
        <v>8</v>
      </c>
      <c r="B7" s="160"/>
      <c r="C7" s="160"/>
      <c r="D7" s="160"/>
      <c r="E7" s="160"/>
      <c r="F7" s="160"/>
      <c r="G7" s="160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20"/>
      <c r="U7" s="21" t="s">
        <v>9</v>
      </c>
      <c r="V7" s="17"/>
      <c r="W7" s="95"/>
      <c r="X7" s="95"/>
    </row>
    <row r="8" spans="1:24" ht="12.75">
      <c r="A8" s="160" t="s">
        <v>10</v>
      </c>
      <c r="B8" s="160"/>
      <c r="C8" s="160"/>
      <c r="D8" s="160"/>
      <c r="E8" s="160"/>
      <c r="F8" s="160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22"/>
      <c r="V8" s="17"/>
      <c r="W8" s="95"/>
      <c r="X8" s="95"/>
    </row>
    <row r="9" spans="1:24" ht="13.5" customHeight="1" thickBot="1">
      <c r="A9" s="160" t="s">
        <v>11</v>
      </c>
      <c r="B9" s="160"/>
      <c r="C9" s="160"/>
      <c r="D9" s="160"/>
      <c r="E9" s="160"/>
      <c r="F9" s="160"/>
      <c r="G9" s="160"/>
      <c r="H9" s="160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24" t="s">
        <v>12</v>
      </c>
      <c r="V9" s="18" t="s">
        <v>13</v>
      </c>
      <c r="W9" s="94"/>
      <c r="X9" s="94"/>
    </row>
    <row r="10" spans="1:24" ht="8.25" customHeight="1">
      <c r="A10" s="10" t="s">
        <v>73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3.5" customHeight="1">
      <c r="A11" s="163" t="s">
        <v>14</v>
      </c>
      <c r="B11" s="163"/>
      <c r="C11" s="163"/>
      <c r="D11" s="11"/>
      <c r="E11" s="11"/>
      <c r="F11" s="11"/>
      <c r="G11" s="164" t="s">
        <v>115</v>
      </c>
      <c r="H11" s="164"/>
      <c r="I11" s="164"/>
      <c r="J11" s="164"/>
      <c r="K11" s="164"/>
      <c r="L11" s="164"/>
      <c r="M11" s="164"/>
      <c r="N11" s="164"/>
      <c r="O11" s="164"/>
      <c r="P11" s="164"/>
      <c r="Q11" s="11"/>
      <c r="R11" s="11"/>
      <c r="S11" s="11"/>
      <c r="T11" s="11"/>
      <c r="U11" s="11"/>
      <c r="V11" s="11"/>
      <c r="W11" s="11"/>
      <c r="X11" s="11"/>
    </row>
    <row r="12" spans="1:24" ht="6.75" customHeight="1" thickBot="1">
      <c r="A12" s="165" t="s">
        <v>73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42"/>
      <c r="X12" s="42"/>
    </row>
    <row r="13" spans="1:24" ht="12.75" customHeight="1">
      <c r="A13" s="166" t="s">
        <v>15</v>
      </c>
      <c r="B13" s="167"/>
      <c r="C13" s="167"/>
      <c r="D13" s="167"/>
      <c r="E13" s="167"/>
      <c r="F13" s="168"/>
      <c r="G13" s="172" t="s">
        <v>16</v>
      </c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6" t="s">
        <v>89</v>
      </c>
      <c r="S13" s="174" t="s">
        <v>17</v>
      </c>
      <c r="T13" s="175"/>
      <c r="U13" s="175"/>
      <c r="V13" s="175"/>
      <c r="W13" s="176" t="s">
        <v>98</v>
      </c>
      <c r="X13" s="176" t="s">
        <v>295</v>
      </c>
    </row>
    <row r="14" spans="1:24" ht="13.5" customHeight="1" thickBot="1">
      <c r="A14" s="169"/>
      <c r="B14" s="170"/>
      <c r="C14" s="170"/>
      <c r="D14" s="170"/>
      <c r="E14" s="170"/>
      <c r="F14" s="171"/>
      <c r="G14" s="173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69"/>
      <c r="S14" s="26" t="s">
        <v>18</v>
      </c>
      <c r="T14" s="27" t="s">
        <v>19</v>
      </c>
      <c r="U14" s="28" t="s">
        <v>20</v>
      </c>
      <c r="V14" s="28" t="s">
        <v>21</v>
      </c>
      <c r="W14" s="177"/>
      <c r="X14" s="153"/>
    </row>
    <row r="15" spans="1:24" ht="15.75" customHeight="1" thickBot="1">
      <c r="A15" s="154" t="s">
        <v>22</v>
      </c>
      <c r="B15" s="155"/>
      <c r="C15" s="155"/>
      <c r="D15" s="155"/>
      <c r="E15" s="155"/>
      <c r="F15" s="156"/>
      <c r="G15" s="149" t="s">
        <v>23</v>
      </c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66" t="s">
        <v>24</v>
      </c>
      <c r="S15" s="52" t="s">
        <v>25</v>
      </c>
      <c r="T15" s="119" t="s">
        <v>26</v>
      </c>
      <c r="U15" s="120" t="s">
        <v>27</v>
      </c>
      <c r="V15" s="39" t="s">
        <v>28</v>
      </c>
      <c r="W15" s="48" t="s">
        <v>90</v>
      </c>
      <c r="X15" s="48" t="s">
        <v>91</v>
      </c>
    </row>
    <row r="16" spans="1:25" s="5" customFormat="1" ht="16.5" customHeight="1" thickBot="1">
      <c r="A16" s="150" t="s">
        <v>131</v>
      </c>
      <c r="B16" s="151"/>
      <c r="C16" s="151"/>
      <c r="D16" s="151"/>
      <c r="E16" s="151"/>
      <c r="F16" s="152"/>
      <c r="G16" s="145" t="s">
        <v>29</v>
      </c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54">
        <f>R17+R23+R39+R45+R49+R64+R100+R112+R142+R147+R168+R190</f>
        <v>17327891.34</v>
      </c>
      <c r="S16" s="121">
        <f>S17+S23+S39+S45+S49+S64+S100+S112+S142+S147+S168+S190</f>
        <v>5166342.78</v>
      </c>
      <c r="T16" s="122">
        <f>T17+T23+T39+T45+T49+T64+T100+T112+T142+T147+T168+T190</f>
        <v>6619844.97</v>
      </c>
      <c r="U16" s="122">
        <f>U17+U23+U39+U45+U49+U64+U100+U112+U142+U147+U168+U190</f>
        <v>4247926.59</v>
      </c>
      <c r="V16" s="121">
        <f>V17+V23+V39+V45+V49+V64+V100+V112+V142+V147+V168+V190</f>
        <v>1163777</v>
      </c>
      <c r="W16" s="54">
        <f>W17+W23+W45+W49+W64+W112+W147+W168</f>
        <v>15010750</v>
      </c>
      <c r="X16" s="106">
        <f>X17+X23+X45+X49+X64+X112+X147+X168</f>
        <v>15462230</v>
      </c>
      <c r="Y16" s="29">
        <f>SUM(S16:V16)</f>
        <v>17197891.34</v>
      </c>
    </row>
    <row r="17" spans="1:25" s="4" customFormat="1" ht="24" customHeight="1">
      <c r="A17" s="147" t="s">
        <v>132</v>
      </c>
      <c r="B17" s="148"/>
      <c r="C17" s="148"/>
      <c r="D17" s="148"/>
      <c r="E17" s="148"/>
      <c r="F17" s="178"/>
      <c r="G17" s="179" t="s">
        <v>30</v>
      </c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38">
        <f>R19</f>
        <v>909340</v>
      </c>
      <c r="S17" s="125">
        <f>S19</f>
        <v>384900</v>
      </c>
      <c r="T17" s="126">
        <f>T19</f>
        <v>227108.75</v>
      </c>
      <c r="U17" s="126">
        <f>U19</f>
        <v>297331.25</v>
      </c>
      <c r="V17" s="127">
        <f>V19</f>
        <v>0</v>
      </c>
      <c r="W17" s="38">
        <f>W20</f>
        <v>828920</v>
      </c>
      <c r="X17" s="55">
        <f>X19</f>
        <v>831540</v>
      </c>
      <c r="Y17" s="29">
        <f>SUM(S17:V17)</f>
        <v>909340</v>
      </c>
    </row>
    <row r="18" spans="1:25" s="51" customFormat="1" ht="23.25" customHeight="1">
      <c r="A18" s="181" t="s">
        <v>133</v>
      </c>
      <c r="B18" s="182"/>
      <c r="C18" s="182"/>
      <c r="D18" s="182"/>
      <c r="E18" s="182"/>
      <c r="F18" s="49"/>
      <c r="G18" s="183" t="s">
        <v>92</v>
      </c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57">
        <f>R19</f>
        <v>909340</v>
      </c>
      <c r="S18" s="128">
        <f aca="true" t="shared" si="0" ref="S18:X19">S19</f>
        <v>384900</v>
      </c>
      <c r="T18" s="53">
        <f t="shared" si="0"/>
        <v>227108.75</v>
      </c>
      <c r="U18" s="53">
        <f t="shared" si="0"/>
        <v>297331.25</v>
      </c>
      <c r="V18" s="107">
        <f t="shared" si="0"/>
        <v>0</v>
      </c>
      <c r="W18" s="57">
        <f t="shared" si="0"/>
        <v>828920</v>
      </c>
      <c r="X18" s="107">
        <f t="shared" si="0"/>
        <v>831540</v>
      </c>
      <c r="Y18" s="50"/>
    </row>
    <row r="19" spans="1:25" s="3" customFormat="1" ht="16.5" customHeight="1">
      <c r="A19" s="185" t="s">
        <v>134</v>
      </c>
      <c r="B19" s="186"/>
      <c r="C19" s="186"/>
      <c r="D19" s="186"/>
      <c r="E19" s="186"/>
      <c r="F19" s="187"/>
      <c r="G19" s="188" t="s">
        <v>31</v>
      </c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58">
        <f>R20</f>
        <v>909340</v>
      </c>
      <c r="S19" s="129">
        <f t="shared" si="0"/>
        <v>384900</v>
      </c>
      <c r="T19" s="31">
        <f t="shared" si="0"/>
        <v>227108.75</v>
      </c>
      <c r="U19" s="31">
        <f t="shared" si="0"/>
        <v>297331.25</v>
      </c>
      <c r="V19" s="108">
        <f t="shared" si="0"/>
        <v>0</v>
      </c>
      <c r="W19" s="58">
        <f t="shared" si="0"/>
        <v>828920</v>
      </c>
      <c r="X19" s="108">
        <f t="shared" si="0"/>
        <v>831540</v>
      </c>
      <c r="Y19" s="29">
        <f>SUM(S19:V19)</f>
        <v>909340</v>
      </c>
    </row>
    <row r="20" spans="1:25" ht="16.5" customHeight="1">
      <c r="A20" s="190" t="s">
        <v>135</v>
      </c>
      <c r="B20" s="191"/>
      <c r="C20" s="191"/>
      <c r="D20" s="191"/>
      <c r="E20" s="191"/>
      <c r="F20" s="192"/>
      <c r="G20" s="193" t="s">
        <v>32</v>
      </c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59">
        <f>СБР!R20</f>
        <v>909340</v>
      </c>
      <c r="S20" s="118">
        <f>СБР!S20</f>
        <v>384900</v>
      </c>
      <c r="T20" s="32">
        <f>СБР!T20</f>
        <v>227108.75</v>
      </c>
      <c r="U20" s="32">
        <f>СБР!U20</f>
        <v>297331.25</v>
      </c>
      <c r="V20" s="56">
        <f>СБР!V20</f>
        <v>0</v>
      </c>
      <c r="W20" s="59">
        <f>СБР!W20</f>
        <v>828920</v>
      </c>
      <c r="X20" s="59">
        <f>СБР!X20</f>
        <v>831540</v>
      </c>
      <c r="Y20" s="29">
        <f>SUM(S20:V20)</f>
        <v>909340</v>
      </c>
    </row>
    <row r="21" spans="1:25" ht="16.5" customHeight="1" hidden="1">
      <c r="A21" s="190" t="s">
        <v>136</v>
      </c>
      <c r="B21" s="191"/>
      <c r="C21" s="191"/>
      <c r="D21" s="191"/>
      <c r="E21" s="191"/>
      <c r="F21" s="192"/>
      <c r="G21" s="193" t="s">
        <v>33</v>
      </c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60">
        <f>SUM(S21:V21)</f>
        <v>630000</v>
      </c>
      <c r="S21" s="130">
        <v>285000</v>
      </c>
      <c r="T21" s="33">
        <v>115000</v>
      </c>
      <c r="U21" s="33">
        <v>115000</v>
      </c>
      <c r="V21" s="109">
        <v>115000</v>
      </c>
      <c r="W21" s="60">
        <v>635000</v>
      </c>
      <c r="X21" s="109">
        <v>640000</v>
      </c>
      <c r="Y21" s="29">
        <f>SUM(S21:V21)</f>
        <v>630000</v>
      </c>
    </row>
    <row r="22" spans="1:25" ht="16.5" customHeight="1" hidden="1">
      <c r="A22" s="190" t="s">
        <v>137</v>
      </c>
      <c r="B22" s="191"/>
      <c r="C22" s="191"/>
      <c r="D22" s="191"/>
      <c r="E22" s="191"/>
      <c r="F22" s="192"/>
      <c r="G22" s="193" t="s">
        <v>34</v>
      </c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60">
        <f>SUM(S22:V22)</f>
        <v>176910</v>
      </c>
      <c r="S22" s="130">
        <v>97470</v>
      </c>
      <c r="T22" s="33">
        <v>39330</v>
      </c>
      <c r="U22" s="33">
        <v>30110</v>
      </c>
      <c r="V22" s="109">
        <v>10000</v>
      </c>
      <c r="W22" s="60">
        <v>193920</v>
      </c>
      <c r="X22" s="109">
        <v>191540</v>
      </c>
      <c r="Y22" s="29">
        <f>SUM(S22:V22)</f>
        <v>176910</v>
      </c>
    </row>
    <row r="23" spans="1:25" s="4" customFormat="1" ht="34.5" customHeight="1">
      <c r="A23" s="147" t="s">
        <v>138</v>
      </c>
      <c r="B23" s="148"/>
      <c r="C23" s="148"/>
      <c r="D23" s="148"/>
      <c r="E23" s="148"/>
      <c r="F23" s="178"/>
      <c r="G23" s="179" t="s">
        <v>35</v>
      </c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38">
        <f aca="true" t="shared" si="1" ref="R23:X23">R25</f>
        <v>6119036</v>
      </c>
      <c r="S23" s="131">
        <f t="shared" si="1"/>
        <v>1952269</v>
      </c>
      <c r="T23" s="30">
        <f t="shared" si="1"/>
        <v>2423871</v>
      </c>
      <c r="U23" s="30">
        <f t="shared" si="1"/>
        <v>1628663</v>
      </c>
      <c r="V23" s="55">
        <f t="shared" si="1"/>
        <v>114233</v>
      </c>
      <c r="W23" s="38">
        <f t="shared" si="1"/>
        <v>6166260</v>
      </c>
      <c r="X23" s="55">
        <f t="shared" si="1"/>
        <v>6186810</v>
      </c>
      <c r="Y23" s="29">
        <f>SUM(S23:V23)</f>
        <v>6119036</v>
      </c>
    </row>
    <row r="24" spans="1:25" s="51" customFormat="1" ht="24" customHeight="1">
      <c r="A24" s="181" t="s">
        <v>139</v>
      </c>
      <c r="B24" s="182"/>
      <c r="C24" s="182"/>
      <c r="D24" s="182"/>
      <c r="E24" s="182"/>
      <c r="F24" s="49"/>
      <c r="G24" s="183" t="s">
        <v>92</v>
      </c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57">
        <f>R25</f>
        <v>6119036</v>
      </c>
      <c r="S24" s="128">
        <f aca="true" t="shared" si="2" ref="S24:X25">S25</f>
        <v>1952269</v>
      </c>
      <c r="T24" s="53">
        <f t="shared" si="2"/>
        <v>2423871</v>
      </c>
      <c r="U24" s="53">
        <f t="shared" si="2"/>
        <v>1628663</v>
      </c>
      <c r="V24" s="107">
        <f t="shared" si="2"/>
        <v>114233</v>
      </c>
      <c r="W24" s="57">
        <f t="shared" si="2"/>
        <v>6166260</v>
      </c>
      <c r="X24" s="107">
        <f t="shared" si="2"/>
        <v>6186810</v>
      </c>
      <c r="Y24" s="50"/>
    </row>
    <row r="25" spans="1:25" s="3" customFormat="1" ht="16.5" customHeight="1">
      <c r="A25" s="185" t="s">
        <v>140</v>
      </c>
      <c r="B25" s="186"/>
      <c r="C25" s="186"/>
      <c r="D25" s="186"/>
      <c r="E25" s="186"/>
      <c r="F25" s="187"/>
      <c r="G25" s="188" t="s">
        <v>36</v>
      </c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58">
        <f>R26</f>
        <v>6119036</v>
      </c>
      <c r="S25" s="129">
        <f>S26</f>
        <v>1952269</v>
      </c>
      <c r="T25" s="31">
        <f>T26</f>
        <v>2423871</v>
      </c>
      <c r="U25" s="31">
        <f>U26</f>
        <v>1628663</v>
      </c>
      <c r="V25" s="108">
        <f>V26</f>
        <v>114233</v>
      </c>
      <c r="W25" s="58">
        <f t="shared" si="2"/>
        <v>6166260</v>
      </c>
      <c r="X25" s="108">
        <f t="shared" si="2"/>
        <v>6186810</v>
      </c>
      <c r="Y25" s="29">
        <f>SUM(S25:V25)</f>
        <v>6119036</v>
      </c>
    </row>
    <row r="26" spans="1:25" ht="16.5" customHeight="1">
      <c r="A26" s="190" t="s">
        <v>141</v>
      </c>
      <c r="B26" s="191"/>
      <c r="C26" s="191"/>
      <c r="D26" s="191"/>
      <c r="E26" s="191"/>
      <c r="F26" s="192"/>
      <c r="G26" s="193" t="s">
        <v>32</v>
      </c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59">
        <f>СБР!R26</f>
        <v>6119036</v>
      </c>
      <c r="S26" s="118">
        <f>СБР!S26</f>
        <v>1952269</v>
      </c>
      <c r="T26" s="32">
        <f>СБР!T26</f>
        <v>2423871</v>
      </c>
      <c r="U26" s="32">
        <f>СБР!U26</f>
        <v>1628663</v>
      </c>
      <c r="V26" s="56">
        <f>СБР!V26</f>
        <v>114233</v>
      </c>
      <c r="W26" s="59">
        <f>СБР!W26</f>
        <v>6166260</v>
      </c>
      <c r="X26" s="59">
        <f>СБР!X26</f>
        <v>6186810</v>
      </c>
      <c r="Y26" s="29">
        <f>SUM(S26:V26)</f>
        <v>6119036</v>
      </c>
    </row>
    <row r="27" spans="1:25" ht="16.5" customHeight="1">
      <c r="A27" s="190" t="s">
        <v>142</v>
      </c>
      <c r="B27" s="191"/>
      <c r="C27" s="191"/>
      <c r="D27" s="191"/>
      <c r="E27" s="191"/>
      <c r="F27" s="192"/>
      <c r="G27" s="193" t="s">
        <v>33</v>
      </c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60">
        <f aca="true" t="shared" si="3" ref="R27:R38">SUM(S27:V27)</f>
        <v>4120000</v>
      </c>
      <c r="S27" s="130">
        <v>1250000</v>
      </c>
      <c r="T27" s="33">
        <v>1145000</v>
      </c>
      <c r="U27" s="33">
        <v>1000000</v>
      </c>
      <c r="V27" s="109">
        <v>725000</v>
      </c>
      <c r="W27" s="60">
        <v>4190000</v>
      </c>
      <c r="X27" s="109">
        <v>4200000</v>
      </c>
      <c r="Y27" s="29">
        <f>SUM(S27:X27)</f>
        <v>12510000</v>
      </c>
    </row>
    <row r="28" spans="1:25" ht="16.5" customHeight="1">
      <c r="A28" s="190" t="s">
        <v>143</v>
      </c>
      <c r="B28" s="191"/>
      <c r="C28" s="191"/>
      <c r="D28" s="191"/>
      <c r="E28" s="191"/>
      <c r="F28" s="192"/>
      <c r="G28" s="193" t="s">
        <v>37</v>
      </c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60">
        <f t="shared" si="3"/>
        <v>5000</v>
      </c>
      <c r="S28" s="130">
        <v>2500</v>
      </c>
      <c r="T28" s="33">
        <v>0</v>
      </c>
      <c r="U28" s="33">
        <v>2500</v>
      </c>
      <c r="V28" s="109">
        <v>0</v>
      </c>
      <c r="W28" s="60">
        <v>5000</v>
      </c>
      <c r="X28" s="109">
        <v>5000</v>
      </c>
      <c r="Y28" s="29">
        <f>SUM(S28:X28)</f>
        <v>15000</v>
      </c>
    </row>
    <row r="29" spans="1:25" ht="16.5" customHeight="1">
      <c r="A29" s="190" t="s">
        <v>144</v>
      </c>
      <c r="B29" s="191"/>
      <c r="C29" s="191"/>
      <c r="D29" s="191"/>
      <c r="E29" s="191"/>
      <c r="F29" s="192"/>
      <c r="G29" s="193" t="s">
        <v>34</v>
      </c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60">
        <f t="shared" si="3"/>
        <v>1350180</v>
      </c>
      <c r="S29" s="130">
        <v>427500</v>
      </c>
      <c r="T29" s="33">
        <v>394590</v>
      </c>
      <c r="U29" s="33">
        <v>342000</v>
      </c>
      <c r="V29" s="109">
        <v>186090</v>
      </c>
      <c r="W29" s="60">
        <v>1452560</v>
      </c>
      <c r="X29" s="109">
        <v>1463110</v>
      </c>
      <c r="Y29" s="29">
        <f>SUM(S29:X29)</f>
        <v>4265850</v>
      </c>
    </row>
    <row r="30" spans="1:25" ht="16.5" customHeight="1">
      <c r="A30" s="190" t="s">
        <v>145</v>
      </c>
      <c r="B30" s="191"/>
      <c r="C30" s="191"/>
      <c r="D30" s="191"/>
      <c r="E30" s="191"/>
      <c r="F30" s="192"/>
      <c r="G30" s="193" t="s">
        <v>38</v>
      </c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60">
        <f t="shared" si="3"/>
        <v>64000</v>
      </c>
      <c r="S30" s="130">
        <v>16000</v>
      </c>
      <c r="T30" s="33">
        <v>16000</v>
      </c>
      <c r="U30" s="33">
        <v>16000</v>
      </c>
      <c r="V30" s="109">
        <v>16000</v>
      </c>
      <c r="W30" s="60">
        <v>64000</v>
      </c>
      <c r="X30" s="109">
        <v>64000</v>
      </c>
      <c r="Y30" s="29">
        <f>SUM(S30:X30)</f>
        <v>192000</v>
      </c>
    </row>
    <row r="31" spans="1:25" ht="16.5" customHeight="1">
      <c r="A31" s="190" t="s">
        <v>146</v>
      </c>
      <c r="B31" s="191"/>
      <c r="C31" s="191"/>
      <c r="D31" s="191"/>
      <c r="E31" s="191"/>
      <c r="F31" s="192"/>
      <c r="G31" s="193" t="s">
        <v>39</v>
      </c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60">
        <f t="shared" si="3"/>
        <v>0</v>
      </c>
      <c r="S31" s="130">
        <v>0</v>
      </c>
      <c r="T31" s="33">
        <v>0</v>
      </c>
      <c r="U31" s="33">
        <v>0</v>
      </c>
      <c r="V31" s="109">
        <v>0</v>
      </c>
      <c r="W31" s="60"/>
      <c r="X31" s="109"/>
      <c r="Y31" s="29">
        <f>SUM(S31:V31)</f>
        <v>0</v>
      </c>
    </row>
    <row r="32" spans="1:25" ht="16.5" customHeight="1">
      <c r="A32" s="190" t="s">
        <v>147</v>
      </c>
      <c r="B32" s="191"/>
      <c r="C32" s="191"/>
      <c r="D32" s="191"/>
      <c r="E32" s="191"/>
      <c r="F32" s="192"/>
      <c r="G32" s="193" t="s">
        <v>40</v>
      </c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60">
        <f t="shared" si="3"/>
        <v>0</v>
      </c>
      <c r="S32" s="130">
        <v>0</v>
      </c>
      <c r="T32" s="33">
        <v>0</v>
      </c>
      <c r="U32" s="33">
        <v>0</v>
      </c>
      <c r="V32" s="109">
        <v>0</v>
      </c>
      <c r="W32" s="60">
        <v>0</v>
      </c>
      <c r="X32" s="109">
        <v>0</v>
      </c>
      <c r="Y32" s="29">
        <f aca="true" t="shared" si="4" ref="Y32:Y38">SUM(S32:X32)</f>
        <v>0</v>
      </c>
    </row>
    <row r="33" spans="1:25" ht="16.5" customHeight="1">
      <c r="A33" s="190" t="s">
        <v>148</v>
      </c>
      <c r="B33" s="191"/>
      <c r="C33" s="191"/>
      <c r="D33" s="191"/>
      <c r="E33" s="191"/>
      <c r="F33" s="192"/>
      <c r="G33" s="193" t="s">
        <v>41</v>
      </c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60">
        <f t="shared" si="3"/>
        <v>40000</v>
      </c>
      <c r="S33" s="130">
        <v>10000</v>
      </c>
      <c r="T33" s="33">
        <v>10000</v>
      </c>
      <c r="U33" s="33">
        <v>10000</v>
      </c>
      <c r="V33" s="109">
        <v>10000</v>
      </c>
      <c r="W33" s="60">
        <v>40000</v>
      </c>
      <c r="X33" s="109">
        <v>40000</v>
      </c>
      <c r="Y33" s="29">
        <f t="shared" si="4"/>
        <v>120000</v>
      </c>
    </row>
    <row r="34" spans="1:25" ht="16.5" customHeight="1">
      <c r="A34" s="190" t="s">
        <v>149</v>
      </c>
      <c r="B34" s="191"/>
      <c r="C34" s="191"/>
      <c r="D34" s="191"/>
      <c r="E34" s="191"/>
      <c r="F34" s="192"/>
      <c r="G34" s="193" t="s">
        <v>42</v>
      </c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60">
        <f t="shared" si="3"/>
        <v>113000</v>
      </c>
      <c r="S34" s="130">
        <v>31750</v>
      </c>
      <c r="T34" s="33">
        <v>26750</v>
      </c>
      <c r="U34" s="33">
        <v>27750</v>
      </c>
      <c r="V34" s="109">
        <v>26750</v>
      </c>
      <c r="W34" s="60">
        <v>113000</v>
      </c>
      <c r="X34" s="109">
        <v>113000</v>
      </c>
      <c r="Y34" s="29">
        <f t="shared" si="4"/>
        <v>339000</v>
      </c>
    </row>
    <row r="35" spans="1:25" ht="16.5" customHeight="1">
      <c r="A35" s="190" t="s">
        <v>150</v>
      </c>
      <c r="B35" s="191"/>
      <c r="C35" s="191"/>
      <c r="D35" s="191"/>
      <c r="E35" s="191"/>
      <c r="F35" s="192"/>
      <c r="G35" s="193" t="s">
        <v>88</v>
      </c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60">
        <f>SUM(S35:V35)</f>
        <v>0</v>
      </c>
      <c r="S35" s="130">
        <v>0</v>
      </c>
      <c r="T35" s="33">
        <v>0</v>
      </c>
      <c r="U35" s="33">
        <v>0</v>
      </c>
      <c r="V35" s="109">
        <v>0</v>
      </c>
      <c r="W35" s="60">
        <v>0</v>
      </c>
      <c r="X35" s="109">
        <v>0</v>
      </c>
      <c r="Y35" s="29">
        <f t="shared" si="4"/>
        <v>0</v>
      </c>
    </row>
    <row r="36" spans="1:25" ht="16.5" customHeight="1">
      <c r="A36" s="190" t="s">
        <v>151</v>
      </c>
      <c r="B36" s="191"/>
      <c r="C36" s="191"/>
      <c r="D36" s="191"/>
      <c r="E36" s="191"/>
      <c r="F36" s="192"/>
      <c r="G36" s="193" t="s">
        <v>46</v>
      </c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60">
        <f>SUM(S36:V36)</f>
        <v>1700</v>
      </c>
      <c r="S36" s="130">
        <v>523</v>
      </c>
      <c r="T36" s="33">
        <v>531</v>
      </c>
      <c r="U36" s="33">
        <v>323</v>
      </c>
      <c r="V36" s="109">
        <v>323</v>
      </c>
      <c r="W36" s="60">
        <v>1700</v>
      </c>
      <c r="X36" s="109">
        <v>1700</v>
      </c>
      <c r="Y36" s="29">
        <f t="shared" si="4"/>
        <v>5100</v>
      </c>
    </row>
    <row r="37" spans="1:25" ht="16.5" customHeight="1">
      <c r="A37" s="190" t="s">
        <v>152</v>
      </c>
      <c r="B37" s="191"/>
      <c r="C37" s="191"/>
      <c r="D37" s="191"/>
      <c r="E37" s="191"/>
      <c r="F37" s="192"/>
      <c r="G37" s="193" t="s">
        <v>43</v>
      </c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60">
        <f t="shared" si="3"/>
        <v>0</v>
      </c>
      <c r="S37" s="130">
        <f>7575-7575</f>
        <v>0</v>
      </c>
      <c r="T37" s="33">
        <v>0</v>
      </c>
      <c r="U37" s="33">
        <v>0</v>
      </c>
      <c r="V37" s="109">
        <v>0</v>
      </c>
      <c r="W37" s="60">
        <v>0</v>
      </c>
      <c r="X37" s="109">
        <v>0</v>
      </c>
      <c r="Y37" s="29">
        <f t="shared" si="4"/>
        <v>0</v>
      </c>
    </row>
    <row r="38" spans="1:25" ht="16.5" customHeight="1">
      <c r="A38" s="190" t="s">
        <v>153</v>
      </c>
      <c r="B38" s="191"/>
      <c r="C38" s="191"/>
      <c r="D38" s="191"/>
      <c r="E38" s="191"/>
      <c r="F38" s="192"/>
      <c r="G38" s="195" t="s">
        <v>75</v>
      </c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60">
        <f t="shared" si="3"/>
        <v>300000</v>
      </c>
      <c r="S38" s="130">
        <v>75000</v>
      </c>
      <c r="T38" s="33">
        <v>75000</v>
      </c>
      <c r="U38" s="33">
        <v>75000</v>
      </c>
      <c r="V38" s="109">
        <v>75000</v>
      </c>
      <c r="W38" s="60">
        <v>300000</v>
      </c>
      <c r="X38" s="109">
        <v>300000</v>
      </c>
      <c r="Y38" s="29">
        <f t="shared" si="4"/>
        <v>900000</v>
      </c>
    </row>
    <row r="39" spans="1:25" s="4" customFormat="1" ht="17.25" customHeight="1">
      <c r="A39" s="147" t="s">
        <v>270</v>
      </c>
      <c r="B39" s="148"/>
      <c r="C39" s="148"/>
      <c r="D39" s="148"/>
      <c r="E39" s="148"/>
      <c r="F39" s="178"/>
      <c r="G39" s="197" t="s">
        <v>81</v>
      </c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38">
        <f>R40</f>
        <v>0</v>
      </c>
      <c r="S39" s="131">
        <f>S40</f>
        <v>0</v>
      </c>
      <c r="T39" s="30">
        <f>T40</f>
        <v>0</v>
      </c>
      <c r="U39" s="30">
        <f>U40</f>
        <v>0</v>
      </c>
      <c r="V39" s="55">
        <f>V40</f>
        <v>0</v>
      </c>
      <c r="W39" s="38"/>
      <c r="X39" s="55"/>
      <c r="Y39" s="29">
        <f aca="true" t="shared" si="5" ref="Y39:Y44">SUM(S39:V39)</f>
        <v>0</v>
      </c>
    </row>
    <row r="40" spans="1:25" s="3" customFormat="1" ht="16.5" customHeight="1">
      <c r="A40" s="185" t="s">
        <v>271</v>
      </c>
      <c r="B40" s="186"/>
      <c r="C40" s="186"/>
      <c r="D40" s="186"/>
      <c r="E40" s="186"/>
      <c r="F40" s="187"/>
      <c r="G40" s="199" t="s">
        <v>82</v>
      </c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58">
        <f>R41+R43</f>
        <v>0</v>
      </c>
      <c r="S40" s="129">
        <f>S41+S43</f>
        <v>0</v>
      </c>
      <c r="T40" s="31">
        <f>T41+T43</f>
        <v>0</v>
      </c>
      <c r="U40" s="31">
        <f>U41+U43</f>
        <v>0</v>
      </c>
      <c r="V40" s="108">
        <f>V41+V43</f>
        <v>0</v>
      </c>
      <c r="W40" s="58"/>
      <c r="X40" s="108"/>
      <c r="Y40" s="29">
        <f t="shared" si="5"/>
        <v>0</v>
      </c>
    </row>
    <row r="41" spans="1:25" ht="16.5" customHeight="1">
      <c r="A41" s="190" t="s">
        <v>272</v>
      </c>
      <c r="B41" s="191"/>
      <c r="C41" s="191"/>
      <c r="D41" s="191"/>
      <c r="E41" s="191"/>
      <c r="F41" s="192"/>
      <c r="G41" s="195" t="s">
        <v>32</v>
      </c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59">
        <f>R42</f>
        <v>0</v>
      </c>
      <c r="S41" s="118">
        <f>S42</f>
        <v>0</v>
      </c>
      <c r="T41" s="32">
        <f>T42</f>
        <v>0</v>
      </c>
      <c r="U41" s="32">
        <f>U42</f>
        <v>0</v>
      </c>
      <c r="V41" s="56">
        <f>V42</f>
        <v>0</v>
      </c>
      <c r="W41" s="59"/>
      <c r="X41" s="56"/>
      <c r="Y41" s="29">
        <f t="shared" si="5"/>
        <v>0</v>
      </c>
    </row>
    <row r="42" spans="1:25" ht="16.5" customHeight="1">
      <c r="A42" s="190" t="s">
        <v>273</v>
      </c>
      <c r="B42" s="191"/>
      <c r="C42" s="191"/>
      <c r="D42" s="191"/>
      <c r="E42" s="191"/>
      <c r="F42" s="192"/>
      <c r="G42" s="193" t="s">
        <v>76</v>
      </c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60">
        <f>SUM(S42:V42)</f>
        <v>0</v>
      </c>
      <c r="S42" s="130"/>
      <c r="T42" s="33"/>
      <c r="U42" s="33"/>
      <c r="V42" s="109"/>
      <c r="W42" s="60"/>
      <c r="X42" s="109"/>
      <c r="Y42" s="29">
        <f t="shared" si="5"/>
        <v>0</v>
      </c>
    </row>
    <row r="43" spans="1:25" ht="16.5" customHeight="1">
      <c r="A43" s="190" t="s">
        <v>275</v>
      </c>
      <c r="B43" s="191"/>
      <c r="C43" s="191"/>
      <c r="D43" s="191"/>
      <c r="E43" s="191"/>
      <c r="F43" s="192"/>
      <c r="G43" s="195" t="s">
        <v>32</v>
      </c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59">
        <f>R44</f>
        <v>0</v>
      </c>
      <c r="S43" s="118">
        <f>S44</f>
        <v>0</v>
      </c>
      <c r="T43" s="32">
        <f>T44</f>
        <v>0</v>
      </c>
      <c r="U43" s="32">
        <f>U44</f>
        <v>0</v>
      </c>
      <c r="V43" s="56">
        <f>V44</f>
        <v>0</v>
      </c>
      <c r="W43" s="59"/>
      <c r="X43" s="56"/>
      <c r="Y43" s="29">
        <f t="shared" si="5"/>
        <v>0</v>
      </c>
    </row>
    <row r="44" spans="1:25" ht="16.5" customHeight="1">
      <c r="A44" s="190" t="s">
        <v>274</v>
      </c>
      <c r="B44" s="191"/>
      <c r="C44" s="191"/>
      <c r="D44" s="191"/>
      <c r="E44" s="191"/>
      <c r="F44" s="192"/>
      <c r="G44" s="193" t="s">
        <v>76</v>
      </c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60">
        <f>SUM(S44:V44)</f>
        <v>0</v>
      </c>
      <c r="S44" s="130"/>
      <c r="T44" s="33"/>
      <c r="U44" s="33"/>
      <c r="V44" s="109"/>
      <c r="W44" s="60"/>
      <c r="X44" s="109"/>
      <c r="Y44" s="29">
        <f t="shared" si="5"/>
        <v>0</v>
      </c>
    </row>
    <row r="45" spans="1:25" s="4" customFormat="1" ht="16.5" customHeight="1">
      <c r="A45" s="147" t="s">
        <v>308</v>
      </c>
      <c r="B45" s="148"/>
      <c r="C45" s="148"/>
      <c r="D45" s="148"/>
      <c r="E45" s="148"/>
      <c r="F45" s="178"/>
      <c r="G45" s="179" t="s">
        <v>44</v>
      </c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38">
        <f aca="true" t="shared" si="6" ref="R45:X46">R46</f>
        <v>50000</v>
      </c>
      <c r="S45" s="131">
        <f t="shared" si="6"/>
        <v>0</v>
      </c>
      <c r="T45" s="30">
        <f t="shared" si="6"/>
        <v>50000</v>
      </c>
      <c r="U45" s="30">
        <f t="shared" si="6"/>
        <v>0</v>
      </c>
      <c r="V45" s="55">
        <f t="shared" si="6"/>
        <v>0</v>
      </c>
      <c r="W45" s="38">
        <f t="shared" si="6"/>
        <v>0</v>
      </c>
      <c r="X45" s="55">
        <f t="shared" si="6"/>
        <v>0</v>
      </c>
      <c r="Y45" s="29">
        <f>SUM(S45:V45)</f>
        <v>50000</v>
      </c>
    </row>
    <row r="46" spans="1:25" s="3" customFormat="1" ht="16.5" customHeight="1">
      <c r="A46" s="185" t="s">
        <v>310</v>
      </c>
      <c r="B46" s="186"/>
      <c r="C46" s="186"/>
      <c r="D46" s="186"/>
      <c r="E46" s="186"/>
      <c r="F46" s="187"/>
      <c r="G46" s="188" t="s">
        <v>45</v>
      </c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58">
        <f t="shared" si="6"/>
        <v>50000</v>
      </c>
      <c r="S46" s="129">
        <f t="shared" si="6"/>
        <v>0</v>
      </c>
      <c r="T46" s="31">
        <f t="shared" si="6"/>
        <v>50000</v>
      </c>
      <c r="U46" s="31">
        <f t="shared" si="6"/>
        <v>0</v>
      </c>
      <c r="V46" s="108">
        <f t="shared" si="6"/>
        <v>0</v>
      </c>
      <c r="W46" s="58">
        <f t="shared" si="6"/>
        <v>0</v>
      </c>
      <c r="X46" s="108">
        <f t="shared" si="6"/>
        <v>0</v>
      </c>
      <c r="Y46" s="29">
        <f>SUM(S46:V46)</f>
        <v>50000</v>
      </c>
    </row>
    <row r="47" spans="1:25" ht="16.5" customHeight="1">
      <c r="A47" s="190" t="s">
        <v>311</v>
      </c>
      <c r="B47" s="191"/>
      <c r="C47" s="191"/>
      <c r="D47" s="191"/>
      <c r="E47" s="191"/>
      <c r="F47" s="192"/>
      <c r="G47" s="193" t="s">
        <v>46</v>
      </c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59">
        <f>R48</f>
        <v>50000</v>
      </c>
      <c r="S47" s="118">
        <f>S48</f>
        <v>0</v>
      </c>
      <c r="T47" s="32">
        <f>T48</f>
        <v>50000</v>
      </c>
      <c r="U47" s="32">
        <f>U48</f>
        <v>0</v>
      </c>
      <c r="V47" s="56">
        <f>V48</f>
        <v>0</v>
      </c>
      <c r="W47" s="59">
        <v>0</v>
      </c>
      <c r="X47" s="56">
        <v>0</v>
      </c>
      <c r="Y47" s="29">
        <f>SUM(S47:V47)</f>
        <v>50000</v>
      </c>
    </row>
    <row r="48" spans="1:25" ht="16.5" customHeight="1">
      <c r="A48" s="190" t="s">
        <v>312</v>
      </c>
      <c r="B48" s="191"/>
      <c r="C48" s="191"/>
      <c r="D48" s="191"/>
      <c r="E48" s="191"/>
      <c r="F48" s="192"/>
      <c r="G48" s="193" t="s">
        <v>76</v>
      </c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60">
        <f>SUM(S48:V48)</f>
        <v>50000</v>
      </c>
      <c r="S48" s="130"/>
      <c r="T48" s="33">
        <f>СБР!T48</f>
        <v>50000</v>
      </c>
      <c r="U48" s="33"/>
      <c r="V48" s="109"/>
      <c r="W48" s="60"/>
      <c r="X48" s="109"/>
      <c r="Y48" s="29">
        <f>SUM(S48:V48)</f>
        <v>50000</v>
      </c>
    </row>
    <row r="49" spans="1:25" s="4" customFormat="1" ht="16.5" customHeight="1">
      <c r="A49" s="147" t="s">
        <v>116</v>
      </c>
      <c r="B49" s="148"/>
      <c r="C49" s="148"/>
      <c r="D49" s="148"/>
      <c r="E49" s="148"/>
      <c r="F49" s="178"/>
      <c r="G49" s="179" t="s">
        <v>84</v>
      </c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38">
        <f>R50+R55+R61</f>
        <v>434359.33999999997</v>
      </c>
      <c r="S49" s="131">
        <f aca="true" t="shared" si="7" ref="S49:X49">S50+S55+S61</f>
        <v>116400</v>
      </c>
      <c r="T49" s="30">
        <f t="shared" si="7"/>
        <v>194600</v>
      </c>
      <c r="U49" s="30">
        <f t="shared" si="7"/>
        <v>78931.34</v>
      </c>
      <c r="V49" s="55">
        <f t="shared" si="7"/>
        <v>44428</v>
      </c>
      <c r="W49" s="38">
        <f t="shared" si="7"/>
        <v>567000</v>
      </c>
      <c r="X49" s="55">
        <f t="shared" si="7"/>
        <v>973000</v>
      </c>
      <c r="Y49" s="29">
        <f>SUM(S49:V49)</f>
        <v>434359.33999999997</v>
      </c>
    </row>
    <row r="50" spans="1:25" s="51" customFormat="1" ht="18.75" customHeight="1">
      <c r="A50" s="181" t="s">
        <v>117</v>
      </c>
      <c r="B50" s="182"/>
      <c r="C50" s="182"/>
      <c r="D50" s="182"/>
      <c r="E50" s="182"/>
      <c r="F50" s="49"/>
      <c r="G50" s="183" t="s">
        <v>93</v>
      </c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57">
        <f>R51</f>
        <v>13000</v>
      </c>
      <c r="S50" s="128">
        <f>S51</f>
        <v>0</v>
      </c>
      <c r="T50" s="53">
        <f aca="true" t="shared" si="8" ref="T50:X51">T51</f>
        <v>0</v>
      </c>
      <c r="U50" s="53">
        <f t="shared" si="8"/>
        <v>11572</v>
      </c>
      <c r="V50" s="107">
        <f t="shared" si="8"/>
        <v>1428</v>
      </c>
      <c r="W50" s="57">
        <f t="shared" si="8"/>
        <v>13000</v>
      </c>
      <c r="X50" s="107">
        <f t="shared" si="8"/>
        <v>13000</v>
      </c>
      <c r="Y50" s="50"/>
    </row>
    <row r="51" spans="1:25" s="3" customFormat="1" ht="16.5" customHeight="1">
      <c r="A51" s="185" t="s">
        <v>118</v>
      </c>
      <c r="B51" s="186"/>
      <c r="C51" s="186"/>
      <c r="D51" s="186"/>
      <c r="E51" s="186"/>
      <c r="F51" s="187"/>
      <c r="G51" s="188" t="s">
        <v>85</v>
      </c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58">
        <f>R52</f>
        <v>13000</v>
      </c>
      <c r="S51" s="129">
        <f>S52</f>
        <v>0</v>
      </c>
      <c r="T51" s="31">
        <f>T52</f>
        <v>0</v>
      </c>
      <c r="U51" s="31">
        <f>U52</f>
        <v>11572</v>
      </c>
      <c r="V51" s="108">
        <f>V52</f>
        <v>1428</v>
      </c>
      <c r="W51" s="58">
        <f t="shared" si="8"/>
        <v>13000</v>
      </c>
      <c r="X51" s="108">
        <f t="shared" si="8"/>
        <v>13000</v>
      </c>
      <c r="Y51" s="29">
        <f>SUM(S51:V51)</f>
        <v>13000</v>
      </c>
    </row>
    <row r="52" spans="1:25" ht="16.5" customHeight="1">
      <c r="A52" s="190" t="s">
        <v>119</v>
      </c>
      <c r="B52" s="191"/>
      <c r="C52" s="191"/>
      <c r="D52" s="191"/>
      <c r="E52" s="191"/>
      <c r="F52" s="192"/>
      <c r="G52" s="193" t="s">
        <v>32</v>
      </c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59">
        <f>СБР!R52</f>
        <v>13000</v>
      </c>
      <c r="S52" s="118">
        <f>СБР!S52</f>
        <v>0</v>
      </c>
      <c r="T52" s="32">
        <f>СБР!T52</f>
        <v>0</v>
      </c>
      <c r="U52" s="32">
        <f>СБР!U52</f>
        <v>11572</v>
      </c>
      <c r="V52" s="56">
        <f>СБР!V52</f>
        <v>1428</v>
      </c>
      <c r="W52" s="59">
        <f>СБР!W52</f>
        <v>13000</v>
      </c>
      <c r="X52" s="59">
        <f>СБР!X52</f>
        <v>13000</v>
      </c>
      <c r="Y52" s="29">
        <f>SUM(S52:V52)</f>
        <v>13000</v>
      </c>
    </row>
    <row r="53" spans="1:25" ht="16.5" customHeight="1">
      <c r="A53" s="190" t="s">
        <v>276</v>
      </c>
      <c r="B53" s="191"/>
      <c r="C53" s="191"/>
      <c r="D53" s="191"/>
      <c r="E53" s="191"/>
      <c r="F53" s="192"/>
      <c r="G53" s="193" t="s">
        <v>43</v>
      </c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60">
        <f>SUM(S53:V53)</f>
        <v>0</v>
      </c>
      <c r="S53" s="130"/>
      <c r="T53" s="33"/>
      <c r="U53" s="33"/>
      <c r="V53" s="109"/>
      <c r="W53" s="60"/>
      <c r="X53" s="109"/>
      <c r="Y53" s="29">
        <f>SUM(S53:X53)</f>
        <v>0</v>
      </c>
    </row>
    <row r="54" spans="1:25" ht="16.5" customHeight="1">
      <c r="A54" s="190" t="s">
        <v>120</v>
      </c>
      <c r="B54" s="191"/>
      <c r="C54" s="191"/>
      <c r="D54" s="191"/>
      <c r="E54" s="191"/>
      <c r="F54" s="192"/>
      <c r="G54" s="195" t="s">
        <v>75</v>
      </c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60">
        <f>SUM(S54:V54)</f>
        <v>13000</v>
      </c>
      <c r="S54" s="130">
        <v>3250</v>
      </c>
      <c r="T54" s="33">
        <v>3250</v>
      </c>
      <c r="U54" s="33">
        <v>3250</v>
      </c>
      <c r="V54" s="109">
        <v>3250</v>
      </c>
      <c r="W54" s="60">
        <v>13000</v>
      </c>
      <c r="X54" s="109">
        <v>13000</v>
      </c>
      <c r="Y54" s="29">
        <f>SUM(S54:X54)</f>
        <v>39000</v>
      </c>
    </row>
    <row r="55" spans="1:25" s="51" customFormat="1" ht="24" customHeight="1">
      <c r="A55" s="181" t="s">
        <v>124</v>
      </c>
      <c r="B55" s="182"/>
      <c r="C55" s="182"/>
      <c r="D55" s="182"/>
      <c r="E55" s="182"/>
      <c r="F55" s="49"/>
      <c r="G55" s="183" t="s">
        <v>130</v>
      </c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57">
        <f>R56</f>
        <v>421359.33999999997</v>
      </c>
      <c r="S55" s="128">
        <f aca="true" t="shared" si="9" ref="S55:X56">S56</f>
        <v>116400</v>
      </c>
      <c r="T55" s="53">
        <f t="shared" si="9"/>
        <v>194600</v>
      </c>
      <c r="U55" s="53">
        <f t="shared" si="9"/>
        <v>67359.34</v>
      </c>
      <c r="V55" s="107">
        <f t="shared" si="9"/>
        <v>43000</v>
      </c>
      <c r="W55" s="57">
        <f t="shared" si="9"/>
        <v>170000</v>
      </c>
      <c r="X55" s="107">
        <f t="shared" si="9"/>
        <v>170000</v>
      </c>
      <c r="Y55" s="50"/>
    </row>
    <row r="56" spans="1:25" s="3" customFormat="1" ht="16.5" customHeight="1">
      <c r="A56" s="185" t="s">
        <v>125</v>
      </c>
      <c r="B56" s="186"/>
      <c r="C56" s="186"/>
      <c r="D56" s="186"/>
      <c r="E56" s="186"/>
      <c r="F56" s="187"/>
      <c r="G56" s="188" t="s">
        <v>58</v>
      </c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58">
        <f>R57</f>
        <v>421359.33999999997</v>
      </c>
      <c r="S56" s="129">
        <f>S57</f>
        <v>116400</v>
      </c>
      <c r="T56" s="31">
        <f>T57</f>
        <v>194600</v>
      </c>
      <c r="U56" s="31">
        <f>U57</f>
        <v>67359.34</v>
      </c>
      <c r="V56" s="108">
        <f>V57</f>
        <v>43000</v>
      </c>
      <c r="W56" s="58">
        <f t="shared" si="9"/>
        <v>170000</v>
      </c>
      <c r="X56" s="108">
        <f t="shared" si="9"/>
        <v>170000</v>
      </c>
      <c r="Y56" s="29">
        <f>SUM(S56:V56)</f>
        <v>421359.33999999997</v>
      </c>
    </row>
    <row r="57" spans="1:25" ht="14.25" customHeight="1">
      <c r="A57" s="190" t="s">
        <v>126</v>
      </c>
      <c r="B57" s="191"/>
      <c r="C57" s="191"/>
      <c r="D57" s="191"/>
      <c r="E57" s="191"/>
      <c r="F57" s="192"/>
      <c r="G57" s="193" t="s">
        <v>32</v>
      </c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59">
        <f>СБР!R60</f>
        <v>421359.33999999997</v>
      </c>
      <c r="S57" s="118">
        <f>СБР!S60</f>
        <v>116400</v>
      </c>
      <c r="T57" s="32">
        <f>СБР!T60</f>
        <v>194600</v>
      </c>
      <c r="U57" s="32">
        <f>СБР!U60</f>
        <v>67359.34</v>
      </c>
      <c r="V57" s="56">
        <f>СБР!V60</f>
        <v>43000</v>
      </c>
      <c r="W57" s="59">
        <f>СБР!W60</f>
        <v>170000</v>
      </c>
      <c r="X57" s="59">
        <f>СБР!X60</f>
        <v>170000</v>
      </c>
      <c r="Y57" s="29">
        <f>SUM(S57:V57)</f>
        <v>421359.33999999997</v>
      </c>
    </row>
    <row r="58" spans="1:25" ht="16.5" customHeight="1">
      <c r="A58" s="190" t="s">
        <v>127</v>
      </c>
      <c r="B58" s="191"/>
      <c r="C58" s="191"/>
      <c r="D58" s="191"/>
      <c r="E58" s="191"/>
      <c r="F58" s="192"/>
      <c r="G58" s="193" t="s">
        <v>40</v>
      </c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60">
        <f>SUM(S58:V58)</f>
        <v>130000</v>
      </c>
      <c r="S58" s="130">
        <v>40000</v>
      </c>
      <c r="T58" s="33">
        <v>31000</v>
      </c>
      <c r="U58" s="33">
        <v>19000</v>
      </c>
      <c r="V58" s="109">
        <v>40000</v>
      </c>
      <c r="W58" s="60">
        <v>130000</v>
      </c>
      <c r="X58" s="109">
        <v>130000</v>
      </c>
      <c r="Y58" s="29">
        <f>SUM(S58:X58)</f>
        <v>390000</v>
      </c>
    </row>
    <row r="59" spans="1:25" ht="16.5" customHeight="1">
      <c r="A59" s="190" t="s">
        <v>128</v>
      </c>
      <c r="B59" s="191"/>
      <c r="C59" s="191"/>
      <c r="D59" s="191"/>
      <c r="E59" s="191"/>
      <c r="F59" s="192"/>
      <c r="G59" s="193" t="s">
        <v>41</v>
      </c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60">
        <f>SUM(S59:V59)</f>
        <v>9000</v>
      </c>
      <c r="S59" s="130">
        <v>8400</v>
      </c>
      <c r="T59" s="33">
        <v>600</v>
      </c>
      <c r="U59" s="33"/>
      <c r="V59" s="109"/>
      <c r="W59" s="60">
        <v>9000</v>
      </c>
      <c r="X59" s="109">
        <v>9000</v>
      </c>
      <c r="Y59" s="29">
        <f>SUM(S59:X59)</f>
        <v>27000</v>
      </c>
    </row>
    <row r="60" spans="1:25" ht="16.5" customHeight="1">
      <c r="A60" s="190" t="s">
        <v>129</v>
      </c>
      <c r="B60" s="191"/>
      <c r="C60" s="191"/>
      <c r="D60" s="191"/>
      <c r="E60" s="191"/>
      <c r="F60" s="192"/>
      <c r="G60" s="193" t="s">
        <v>42</v>
      </c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60">
        <f>SUM(S60:V60)</f>
        <v>31000</v>
      </c>
      <c r="S60" s="130">
        <v>31000</v>
      </c>
      <c r="T60" s="33"/>
      <c r="U60" s="33"/>
      <c r="V60" s="109"/>
      <c r="W60" s="60">
        <v>31000</v>
      </c>
      <c r="X60" s="109">
        <v>31000</v>
      </c>
      <c r="Y60" s="29">
        <f>SUM(S60:X60)</f>
        <v>93000</v>
      </c>
    </row>
    <row r="61" spans="1:25" s="51" customFormat="1" ht="18.75" customHeight="1">
      <c r="A61" s="181" t="s">
        <v>121</v>
      </c>
      <c r="B61" s="182"/>
      <c r="C61" s="182"/>
      <c r="D61" s="182"/>
      <c r="E61" s="182"/>
      <c r="F61" s="49"/>
      <c r="G61" s="183" t="s">
        <v>94</v>
      </c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57">
        <f>R62</f>
        <v>0</v>
      </c>
      <c r="S61" s="128">
        <f aca="true" t="shared" si="10" ref="S61:V62">S62</f>
        <v>0</v>
      </c>
      <c r="T61" s="53">
        <f t="shared" si="10"/>
        <v>0</v>
      </c>
      <c r="U61" s="53">
        <f t="shared" si="10"/>
        <v>0</v>
      </c>
      <c r="V61" s="107">
        <f t="shared" si="10"/>
        <v>0</v>
      </c>
      <c r="W61" s="57">
        <f>W62</f>
        <v>384000</v>
      </c>
      <c r="X61" s="107">
        <f>X62</f>
        <v>790000</v>
      </c>
      <c r="Y61" s="50"/>
    </row>
    <row r="62" spans="1:25" ht="16.5" customHeight="1">
      <c r="A62" s="190" t="s">
        <v>122</v>
      </c>
      <c r="B62" s="191"/>
      <c r="C62" s="191"/>
      <c r="D62" s="191"/>
      <c r="E62" s="191"/>
      <c r="F62" s="44"/>
      <c r="G62" s="193" t="s">
        <v>94</v>
      </c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59">
        <f>R63</f>
        <v>0</v>
      </c>
      <c r="S62" s="118">
        <f t="shared" si="10"/>
        <v>0</v>
      </c>
      <c r="T62" s="32">
        <f t="shared" si="10"/>
        <v>0</v>
      </c>
      <c r="U62" s="32">
        <f t="shared" si="10"/>
        <v>0</v>
      </c>
      <c r="V62" s="56">
        <f t="shared" si="10"/>
        <v>0</v>
      </c>
      <c r="W62" s="59">
        <f>W63</f>
        <v>384000</v>
      </c>
      <c r="X62" s="56">
        <f>X63</f>
        <v>790000</v>
      </c>
      <c r="Y62" s="29"/>
    </row>
    <row r="63" spans="1:25" ht="16.5" customHeight="1" hidden="1">
      <c r="A63" s="190" t="s">
        <v>123</v>
      </c>
      <c r="B63" s="191"/>
      <c r="C63" s="191"/>
      <c r="D63" s="191"/>
      <c r="E63" s="191"/>
      <c r="F63" s="44"/>
      <c r="G63" s="193" t="s">
        <v>94</v>
      </c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60">
        <f>SUM(S63:V63)</f>
        <v>0</v>
      </c>
      <c r="S63" s="130">
        <v>0</v>
      </c>
      <c r="T63" s="33">
        <v>0</v>
      </c>
      <c r="U63" s="33">
        <v>0</v>
      </c>
      <c r="V63" s="109">
        <v>0</v>
      </c>
      <c r="W63" s="60">
        <v>384000</v>
      </c>
      <c r="X63" s="109">
        <v>790000</v>
      </c>
      <c r="Y63" s="29"/>
    </row>
    <row r="64" spans="1:25" s="4" customFormat="1" ht="16.5" customHeight="1">
      <c r="A64" s="147" t="s">
        <v>154</v>
      </c>
      <c r="B64" s="148"/>
      <c r="C64" s="148"/>
      <c r="D64" s="148"/>
      <c r="E64" s="148"/>
      <c r="F64" s="178"/>
      <c r="G64" s="179" t="s">
        <v>47</v>
      </c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38">
        <f aca="true" t="shared" si="11" ref="R64:X64">R66</f>
        <v>394600</v>
      </c>
      <c r="S64" s="131">
        <f t="shared" si="11"/>
        <v>90690</v>
      </c>
      <c r="T64" s="30">
        <f t="shared" si="11"/>
        <v>90190</v>
      </c>
      <c r="U64" s="30">
        <f t="shared" si="11"/>
        <v>107300</v>
      </c>
      <c r="V64" s="55">
        <f t="shared" si="11"/>
        <v>106420</v>
      </c>
      <c r="W64" s="38">
        <f t="shared" si="11"/>
        <v>398000</v>
      </c>
      <c r="X64" s="55">
        <f t="shared" si="11"/>
        <v>398000</v>
      </c>
      <c r="Y64" s="29">
        <f>SUM(S64:V64)</f>
        <v>394600</v>
      </c>
    </row>
    <row r="65" spans="1:25" s="51" customFormat="1" ht="16.5" customHeight="1">
      <c r="A65" s="181" t="s">
        <v>155</v>
      </c>
      <c r="B65" s="182"/>
      <c r="C65" s="182"/>
      <c r="D65" s="182"/>
      <c r="E65" s="182"/>
      <c r="F65" s="49"/>
      <c r="G65" s="183" t="s">
        <v>93</v>
      </c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57">
        <f>R66</f>
        <v>394600</v>
      </c>
      <c r="S65" s="128">
        <f aca="true" t="shared" si="12" ref="S65:X66">S66</f>
        <v>90690</v>
      </c>
      <c r="T65" s="53">
        <f t="shared" si="12"/>
        <v>90190</v>
      </c>
      <c r="U65" s="53">
        <f t="shared" si="12"/>
        <v>107300</v>
      </c>
      <c r="V65" s="107">
        <f t="shared" si="12"/>
        <v>106420</v>
      </c>
      <c r="W65" s="57">
        <f t="shared" si="12"/>
        <v>398000</v>
      </c>
      <c r="X65" s="107">
        <f t="shared" si="12"/>
        <v>398000</v>
      </c>
      <c r="Y65" s="50"/>
    </row>
    <row r="66" spans="1:25" s="3" customFormat="1" ht="24" customHeight="1">
      <c r="A66" s="185" t="s">
        <v>156</v>
      </c>
      <c r="B66" s="186"/>
      <c r="C66" s="186"/>
      <c r="D66" s="186"/>
      <c r="E66" s="186"/>
      <c r="F66" s="187"/>
      <c r="G66" s="188" t="s">
        <v>48</v>
      </c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58">
        <f>R67</f>
        <v>394600</v>
      </c>
      <c r="S66" s="129">
        <f>S67</f>
        <v>90690</v>
      </c>
      <c r="T66" s="31">
        <f>T67</f>
        <v>90190</v>
      </c>
      <c r="U66" s="31">
        <f>U67</f>
        <v>107300</v>
      </c>
      <c r="V66" s="108">
        <f>V67</f>
        <v>106420</v>
      </c>
      <c r="W66" s="58">
        <f t="shared" si="12"/>
        <v>398000</v>
      </c>
      <c r="X66" s="108">
        <f t="shared" si="12"/>
        <v>398000</v>
      </c>
      <c r="Y66" s="29">
        <f>SUM(S66:V66)</f>
        <v>394600</v>
      </c>
    </row>
    <row r="67" spans="1:25" ht="14.25" customHeight="1" hidden="1">
      <c r="A67" s="190" t="s">
        <v>157</v>
      </c>
      <c r="B67" s="191"/>
      <c r="C67" s="191"/>
      <c r="D67" s="191"/>
      <c r="E67" s="191"/>
      <c r="F67" s="192"/>
      <c r="G67" s="193" t="s">
        <v>32</v>
      </c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59">
        <f>СБР!R70</f>
        <v>394600</v>
      </c>
      <c r="S67" s="118">
        <f>СБР!S70</f>
        <v>90690</v>
      </c>
      <c r="T67" s="32">
        <f>СБР!T70</f>
        <v>90190</v>
      </c>
      <c r="U67" s="32">
        <f>СБР!U70</f>
        <v>107300</v>
      </c>
      <c r="V67" s="56">
        <f>СБР!V70</f>
        <v>106420</v>
      </c>
      <c r="W67" s="59">
        <f>СБР!W70</f>
        <v>398000</v>
      </c>
      <c r="X67" s="59">
        <f>СБР!X70</f>
        <v>398000</v>
      </c>
      <c r="Y67" s="29">
        <f>SUM(S67:V67)</f>
        <v>394600</v>
      </c>
    </row>
    <row r="68" spans="1:25" ht="16.5" customHeight="1" hidden="1">
      <c r="A68" s="190" t="s">
        <v>158</v>
      </c>
      <c r="B68" s="191"/>
      <c r="C68" s="191"/>
      <c r="D68" s="191"/>
      <c r="E68" s="191"/>
      <c r="F68" s="192"/>
      <c r="G68" s="193" t="s">
        <v>33</v>
      </c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60">
        <f>SUM(S68:V68)</f>
        <v>267500</v>
      </c>
      <c r="S68" s="130">
        <v>60500</v>
      </c>
      <c r="T68" s="33">
        <v>60500</v>
      </c>
      <c r="U68" s="33">
        <v>74000</v>
      </c>
      <c r="V68" s="109">
        <v>72500</v>
      </c>
      <c r="W68" s="60">
        <v>251000</v>
      </c>
      <c r="X68" s="109">
        <v>270000</v>
      </c>
      <c r="Y68" s="29">
        <f>SUM(S68:X68)</f>
        <v>788500</v>
      </c>
    </row>
    <row r="69" spans="1:25" ht="16.5" customHeight="1" hidden="1">
      <c r="A69" s="190" t="s">
        <v>159</v>
      </c>
      <c r="B69" s="191"/>
      <c r="C69" s="191"/>
      <c r="D69" s="191"/>
      <c r="E69" s="191"/>
      <c r="F69" s="192"/>
      <c r="G69" s="193" t="s">
        <v>37</v>
      </c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60">
        <f aca="true" t="shared" si="13" ref="R69:R77">SUM(S69:V69)</f>
        <v>0</v>
      </c>
      <c r="S69" s="130">
        <v>0</v>
      </c>
      <c r="T69" s="33">
        <v>0</v>
      </c>
      <c r="U69" s="33">
        <f>12500-12500</f>
        <v>0</v>
      </c>
      <c r="V69" s="109">
        <v>0</v>
      </c>
      <c r="W69" s="60">
        <v>25000</v>
      </c>
      <c r="X69" s="109">
        <v>0</v>
      </c>
      <c r="Y69" s="29">
        <f>SUM(S69:V69)</f>
        <v>0</v>
      </c>
    </row>
    <row r="70" spans="1:25" ht="16.5" customHeight="1" hidden="1">
      <c r="A70" s="190" t="s">
        <v>160</v>
      </c>
      <c r="B70" s="191"/>
      <c r="C70" s="191"/>
      <c r="D70" s="191"/>
      <c r="E70" s="191"/>
      <c r="F70" s="192"/>
      <c r="G70" s="193" t="s">
        <v>34</v>
      </c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60">
        <f t="shared" si="13"/>
        <v>91100</v>
      </c>
      <c r="S70" s="130">
        <v>20690</v>
      </c>
      <c r="T70" s="33">
        <v>20690</v>
      </c>
      <c r="U70" s="33">
        <v>25300</v>
      </c>
      <c r="V70" s="109">
        <v>24420</v>
      </c>
      <c r="W70" s="60">
        <v>86000</v>
      </c>
      <c r="X70" s="109">
        <v>92000</v>
      </c>
      <c r="Y70" s="29">
        <f>SUM(S70:W70)</f>
        <v>177100</v>
      </c>
    </row>
    <row r="71" spans="1:25" ht="16.5" customHeight="1" hidden="1">
      <c r="A71" s="190" t="s">
        <v>161</v>
      </c>
      <c r="B71" s="191"/>
      <c r="C71" s="191"/>
      <c r="D71" s="191"/>
      <c r="E71" s="191"/>
      <c r="F71" s="192"/>
      <c r="G71" s="193" t="s">
        <v>38</v>
      </c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60">
        <f t="shared" si="13"/>
        <v>8000</v>
      </c>
      <c r="S71" s="130">
        <v>2000</v>
      </c>
      <c r="T71" s="33">
        <v>2000</v>
      </c>
      <c r="U71" s="33">
        <v>2000</v>
      </c>
      <c r="V71" s="109">
        <v>2000</v>
      </c>
      <c r="W71" s="60">
        <v>8000</v>
      </c>
      <c r="X71" s="109">
        <v>8000</v>
      </c>
      <c r="Y71" s="29">
        <f>SUM(S71:W71)</f>
        <v>16000</v>
      </c>
    </row>
    <row r="72" spans="1:25" ht="16.5" customHeight="1" hidden="1">
      <c r="A72" s="190" t="s">
        <v>277</v>
      </c>
      <c r="B72" s="191"/>
      <c r="C72" s="191"/>
      <c r="D72" s="191"/>
      <c r="E72" s="191"/>
      <c r="F72" s="192"/>
      <c r="G72" s="193" t="s">
        <v>39</v>
      </c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60">
        <f t="shared" si="13"/>
        <v>0</v>
      </c>
      <c r="S72" s="130"/>
      <c r="T72" s="33"/>
      <c r="U72" s="33"/>
      <c r="V72" s="109"/>
      <c r="W72" s="60"/>
      <c r="X72" s="109"/>
      <c r="Y72" s="29">
        <f>SUM(S72:V72)</f>
        <v>0</v>
      </c>
    </row>
    <row r="73" spans="1:25" ht="16.5" customHeight="1" hidden="1">
      <c r="A73" s="190" t="s">
        <v>162</v>
      </c>
      <c r="B73" s="191"/>
      <c r="C73" s="191"/>
      <c r="D73" s="191"/>
      <c r="E73" s="191"/>
      <c r="F73" s="192"/>
      <c r="G73" s="193" t="s">
        <v>40</v>
      </c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60">
        <f t="shared" si="13"/>
        <v>8000</v>
      </c>
      <c r="S73" s="130">
        <v>2500</v>
      </c>
      <c r="T73" s="33">
        <v>2000</v>
      </c>
      <c r="U73" s="33">
        <v>1000</v>
      </c>
      <c r="V73" s="109">
        <v>2500</v>
      </c>
      <c r="W73" s="60">
        <v>8000</v>
      </c>
      <c r="X73" s="109">
        <v>8000</v>
      </c>
      <c r="Y73" s="29">
        <f>SUM(S73:W73)</f>
        <v>16000</v>
      </c>
    </row>
    <row r="74" spans="1:25" ht="16.5" customHeight="1" hidden="1">
      <c r="A74" s="190" t="s">
        <v>278</v>
      </c>
      <c r="B74" s="191"/>
      <c r="C74" s="191"/>
      <c r="D74" s="191"/>
      <c r="E74" s="191"/>
      <c r="F74" s="192"/>
      <c r="G74" s="193" t="s">
        <v>41</v>
      </c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60">
        <f>SUM(S74:V74)</f>
        <v>5000</v>
      </c>
      <c r="S74" s="130">
        <v>1500</v>
      </c>
      <c r="T74" s="33">
        <v>1000</v>
      </c>
      <c r="U74" s="33">
        <v>1000</v>
      </c>
      <c r="V74" s="109">
        <v>1500</v>
      </c>
      <c r="W74" s="60">
        <v>5000</v>
      </c>
      <c r="X74" s="109">
        <v>5000</v>
      </c>
      <c r="Y74" s="29">
        <f>SUM(S74:W74)</f>
        <v>10000</v>
      </c>
    </row>
    <row r="75" spans="1:25" ht="16.5" customHeight="1" hidden="1">
      <c r="A75" s="190" t="s">
        <v>163</v>
      </c>
      <c r="B75" s="191"/>
      <c r="C75" s="191"/>
      <c r="D75" s="191"/>
      <c r="E75" s="191"/>
      <c r="F75" s="192"/>
      <c r="G75" s="193" t="s">
        <v>42</v>
      </c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60">
        <f>SUM(S75:V75)</f>
        <v>5000</v>
      </c>
      <c r="S75" s="130">
        <v>1000</v>
      </c>
      <c r="T75" s="33">
        <v>1500</v>
      </c>
      <c r="U75" s="33">
        <v>1500</v>
      </c>
      <c r="V75" s="109">
        <v>1000</v>
      </c>
      <c r="W75" s="60">
        <v>5000</v>
      </c>
      <c r="X75" s="109">
        <v>5000</v>
      </c>
      <c r="Y75" s="29">
        <f>SUM(S75:W75)</f>
        <v>10000</v>
      </c>
    </row>
    <row r="76" spans="1:25" ht="16.5" customHeight="1" hidden="1">
      <c r="A76" s="190" t="s">
        <v>279</v>
      </c>
      <c r="B76" s="191"/>
      <c r="C76" s="191"/>
      <c r="D76" s="191"/>
      <c r="E76" s="191"/>
      <c r="F76" s="192"/>
      <c r="G76" s="193" t="s">
        <v>43</v>
      </c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60">
        <f t="shared" si="13"/>
        <v>0</v>
      </c>
      <c r="S76" s="130"/>
      <c r="T76" s="33"/>
      <c r="U76" s="33"/>
      <c r="V76" s="109"/>
      <c r="W76" s="60"/>
      <c r="X76" s="109"/>
      <c r="Y76" s="29">
        <f>SUM(S76:V76)</f>
        <v>0</v>
      </c>
    </row>
    <row r="77" spans="1:25" ht="16.5" customHeight="1" hidden="1">
      <c r="A77" s="190" t="s">
        <v>164</v>
      </c>
      <c r="B77" s="191"/>
      <c r="C77" s="191"/>
      <c r="D77" s="191"/>
      <c r="E77" s="191"/>
      <c r="F77" s="192"/>
      <c r="G77" s="195" t="s">
        <v>75</v>
      </c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60">
        <f t="shared" si="13"/>
        <v>10000</v>
      </c>
      <c r="S77" s="130">
        <v>2500</v>
      </c>
      <c r="T77" s="33">
        <v>2500</v>
      </c>
      <c r="U77" s="33">
        <v>2500</v>
      </c>
      <c r="V77" s="109">
        <v>2500</v>
      </c>
      <c r="W77" s="60">
        <v>10000</v>
      </c>
      <c r="X77" s="109">
        <v>10000</v>
      </c>
      <c r="Y77" s="29">
        <f>SUM(S77:W77)</f>
        <v>20000</v>
      </c>
    </row>
    <row r="78" spans="1:25" ht="16.5" customHeight="1">
      <c r="A78" s="147" t="s">
        <v>165</v>
      </c>
      <c r="B78" s="148"/>
      <c r="C78" s="148"/>
      <c r="D78" s="148"/>
      <c r="E78" s="148"/>
      <c r="F78" s="96"/>
      <c r="G78" s="197" t="s">
        <v>110</v>
      </c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38">
        <f aca="true" t="shared" si="14" ref="R78:X80">R79</f>
        <v>34005.51</v>
      </c>
      <c r="S78" s="131">
        <f t="shared" si="14"/>
        <v>0</v>
      </c>
      <c r="T78" s="30">
        <f t="shared" si="14"/>
        <v>34005.51</v>
      </c>
      <c r="U78" s="30">
        <f t="shared" si="14"/>
        <v>0</v>
      </c>
      <c r="V78" s="55">
        <f t="shared" si="14"/>
        <v>0</v>
      </c>
      <c r="W78" s="38">
        <f t="shared" si="14"/>
        <v>0</v>
      </c>
      <c r="X78" s="55">
        <f t="shared" si="14"/>
        <v>0</v>
      </c>
      <c r="Y78" s="29"/>
    </row>
    <row r="79" spans="1:25" ht="24.75" customHeight="1">
      <c r="A79" s="181" t="s">
        <v>166</v>
      </c>
      <c r="B79" s="182"/>
      <c r="C79" s="182"/>
      <c r="D79" s="182"/>
      <c r="E79" s="182"/>
      <c r="F79" s="201"/>
      <c r="G79" s="202" t="s">
        <v>111</v>
      </c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57">
        <f t="shared" si="14"/>
        <v>34005.51</v>
      </c>
      <c r="S79" s="128">
        <f t="shared" si="14"/>
        <v>0</v>
      </c>
      <c r="T79" s="53">
        <f t="shared" si="14"/>
        <v>34005.51</v>
      </c>
      <c r="U79" s="53">
        <f t="shared" si="14"/>
        <v>0</v>
      </c>
      <c r="V79" s="107">
        <f t="shared" si="14"/>
        <v>0</v>
      </c>
      <c r="W79" s="57">
        <f t="shared" si="14"/>
        <v>0</v>
      </c>
      <c r="X79" s="107">
        <f t="shared" si="14"/>
        <v>0</v>
      </c>
      <c r="Y79" s="29"/>
    </row>
    <row r="80" spans="1:25" ht="24.75" customHeight="1">
      <c r="A80" s="185" t="s">
        <v>167</v>
      </c>
      <c r="B80" s="186"/>
      <c r="C80" s="186"/>
      <c r="D80" s="186"/>
      <c r="E80" s="186"/>
      <c r="F80" s="97"/>
      <c r="G80" s="199" t="s">
        <v>112</v>
      </c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58">
        <f t="shared" si="14"/>
        <v>34005.51</v>
      </c>
      <c r="S80" s="129">
        <f t="shared" si="14"/>
        <v>0</v>
      </c>
      <c r="T80" s="31">
        <f t="shared" si="14"/>
        <v>34005.51</v>
      </c>
      <c r="U80" s="31">
        <f t="shared" si="14"/>
        <v>0</v>
      </c>
      <c r="V80" s="108">
        <f t="shared" si="14"/>
        <v>0</v>
      </c>
      <c r="W80" s="58">
        <f t="shared" si="14"/>
        <v>0</v>
      </c>
      <c r="X80" s="108">
        <f t="shared" si="14"/>
        <v>0</v>
      </c>
      <c r="Y80" s="29"/>
    </row>
    <row r="81" spans="1:25" ht="16.5" customHeight="1" hidden="1">
      <c r="A81" s="190" t="s">
        <v>168</v>
      </c>
      <c r="B81" s="191"/>
      <c r="C81" s="191"/>
      <c r="D81" s="191"/>
      <c r="E81" s="191"/>
      <c r="F81" s="44"/>
      <c r="G81" s="195" t="s">
        <v>32</v>
      </c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59">
        <f>S81+T81+U81+V81</f>
        <v>34005.51</v>
      </c>
      <c r="S81" s="118">
        <f>S83+S84</f>
        <v>0</v>
      </c>
      <c r="T81" s="32">
        <f>T83+T84+T82</f>
        <v>34005.51</v>
      </c>
      <c r="U81" s="32">
        <f>U82+U83+U84</f>
        <v>0</v>
      </c>
      <c r="V81" s="56">
        <f>V83+V84+V82</f>
        <v>0</v>
      </c>
      <c r="W81" s="59">
        <f>W83+W84+W82</f>
        <v>0</v>
      </c>
      <c r="X81" s="56">
        <f>X83+X84+X82</f>
        <v>0</v>
      </c>
      <c r="Y81" s="29"/>
    </row>
    <row r="82" spans="1:25" ht="16.5" customHeight="1" hidden="1">
      <c r="A82" s="190" t="s">
        <v>309</v>
      </c>
      <c r="B82" s="191"/>
      <c r="C82" s="191"/>
      <c r="D82" s="191"/>
      <c r="E82" s="191"/>
      <c r="F82" s="44"/>
      <c r="G82" s="193" t="s">
        <v>41</v>
      </c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60">
        <f>S82+T82+U82+V82</f>
        <v>0</v>
      </c>
      <c r="S82" s="130">
        <v>0</v>
      </c>
      <c r="T82" s="33">
        <f>СБР!T85</f>
        <v>0</v>
      </c>
      <c r="U82" s="33">
        <f>10000-10000</f>
        <v>0</v>
      </c>
      <c r="V82" s="109">
        <v>0</v>
      </c>
      <c r="W82" s="60">
        <v>0</v>
      </c>
      <c r="X82" s="109">
        <v>0</v>
      </c>
      <c r="Y82" s="29"/>
    </row>
    <row r="83" spans="1:25" ht="16.5" customHeight="1" hidden="1">
      <c r="A83" s="190" t="s">
        <v>169</v>
      </c>
      <c r="B83" s="191"/>
      <c r="C83" s="191"/>
      <c r="D83" s="191"/>
      <c r="E83" s="191"/>
      <c r="F83" s="44"/>
      <c r="G83" s="193" t="s">
        <v>43</v>
      </c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60">
        <f>S83+T83+U83+V83</f>
        <v>10000</v>
      </c>
      <c r="S83" s="130">
        <v>0</v>
      </c>
      <c r="T83" s="33">
        <f>СБР!T87</f>
        <v>10000</v>
      </c>
      <c r="U83" s="33">
        <v>0</v>
      </c>
      <c r="V83" s="109">
        <v>0</v>
      </c>
      <c r="W83" s="60">
        <v>0</v>
      </c>
      <c r="X83" s="109">
        <v>0</v>
      </c>
      <c r="Y83" s="29"/>
    </row>
    <row r="84" spans="1:25" ht="16.5" customHeight="1" hidden="1">
      <c r="A84" s="190" t="s">
        <v>170</v>
      </c>
      <c r="B84" s="191"/>
      <c r="C84" s="191"/>
      <c r="D84" s="191"/>
      <c r="E84" s="192"/>
      <c r="F84" s="193" t="s">
        <v>75</v>
      </c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60">
        <f>S84+T84+U84+V84</f>
        <v>24005.510000000002</v>
      </c>
      <c r="S84" s="130">
        <v>0</v>
      </c>
      <c r="T84" s="33">
        <f>СБР!T88</f>
        <v>24005.510000000002</v>
      </c>
      <c r="U84" s="33">
        <v>0</v>
      </c>
      <c r="V84" s="109">
        <v>0</v>
      </c>
      <c r="W84" s="60">
        <v>0</v>
      </c>
      <c r="X84" s="109">
        <v>0</v>
      </c>
      <c r="Y84" s="29"/>
    </row>
    <row r="85" spans="1:25" s="74" customFormat="1" ht="26.25" customHeight="1">
      <c r="A85" s="204" t="s">
        <v>171</v>
      </c>
      <c r="B85" s="205"/>
      <c r="C85" s="205"/>
      <c r="D85" s="205"/>
      <c r="E85" s="205"/>
      <c r="F85" s="206"/>
      <c r="G85" s="207" t="s">
        <v>100</v>
      </c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90">
        <f aca="true" t="shared" si="15" ref="R85:X85">R86</f>
        <v>223873.45</v>
      </c>
      <c r="S85" s="132">
        <f t="shared" si="15"/>
        <v>34311.22</v>
      </c>
      <c r="T85" s="72">
        <f t="shared" si="15"/>
        <v>103524.37</v>
      </c>
      <c r="U85" s="72">
        <f t="shared" si="15"/>
        <v>0</v>
      </c>
      <c r="V85" s="110">
        <f t="shared" si="15"/>
        <v>0</v>
      </c>
      <c r="W85" s="90">
        <f t="shared" si="15"/>
        <v>0</v>
      </c>
      <c r="X85" s="110">
        <f t="shared" si="15"/>
        <v>0</v>
      </c>
      <c r="Y85" s="73">
        <f>SUM(S85:V85)</f>
        <v>137835.59</v>
      </c>
    </row>
    <row r="86" spans="1:25" s="79" customFormat="1" ht="16.5" customHeight="1" hidden="1">
      <c r="A86" s="209" t="s">
        <v>280</v>
      </c>
      <c r="B86" s="210"/>
      <c r="C86" s="210"/>
      <c r="D86" s="210"/>
      <c r="E86" s="210"/>
      <c r="F86" s="75"/>
      <c r="G86" s="211" t="s">
        <v>101</v>
      </c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91">
        <f aca="true" t="shared" si="16" ref="R86:X86">R87+R89+R91</f>
        <v>223873.45</v>
      </c>
      <c r="S86" s="133">
        <f t="shared" si="16"/>
        <v>34311.22</v>
      </c>
      <c r="T86" s="77">
        <f t="shared" si="16"/>
        <v>103524.37</v>
      </c>
      <c r="U86" s="77">
        <f t="shared" si="16"/>
        <v>0</v>
      </c>
      <c r="V86" s="111">
        <f t="shared" si="16"/>
        <v>0</v>
      </c>
      <c r="W86" s="91">
        <f t="shared" si="16"/>
        <v>0</v>
      </c>
      <c r="X86" s="111">
        <f t="shared" si="16"/>
        <v>0</v>
      </c>
      <c r="Y86" s="78"/>
    </row>
    <row r="87" spans="1:25" s="79" customFormat="1" ht="23.25" customHeight="1" hidden="1">
      <c r="A87" s="209" t="s">
        <v>281</v>
      </c>
      <c r="B87" s="210"/>
      <c r="C87" s="210"/>
      <c r="D87" s="210"/>
      <c r="E87" s="210"/>
      <c r="F87" s="75"/>
      <c r="G87" s="211" t="s">
        <v>102</v>
      </c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91">
        <f aca="true" t="shared" si="17" ref="R87:X87">R88</f>
        <v>0</v>
      </c>
      <c r="S87" s="133">
        <f t="shared" si="17"/>
        <v>0</v>
      </c>
      <c r="T87" s="77">
        <f t="shared" si="17"/>
        <v>0</v>
      </c>
      <c r="U87" s="77">
        <f t="shared" si="17"/>
        <v>0</v>
      </c>
      <c r="V87" s="111">
        <f t="shared" si="17"/>
        <v>0</v>
      </c>
      <c r="W87" s="91">
        <f t="shared" si="17"/>
        <v>0</v>
      </c>
      <c r="X87" s="111">
        <f t="shared" si="17"/>
        <v>0</v>
      </c>
      <c r="Y87" s="78"/>
    </row>
    <row r="88" spans="1:25" s="83" customFormat="1" ht="16.5" customHeight="1" hidden="1">
      <c r="A88" s="213" t="s">
        <v>282</v>
      </c>
      <c r="B88" s="214"/>
      <c r="C88" s="214"/>
      <c r="D88" s="214"/>
      <c r="E88" s="214"/>
      <c r="F88" s="215"/>
      <c r="G88" s="216" t="s">
        <v>32</v>
      </c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92">
        <f>SUM(S88:V88)</f>
        <v>0</v>
      </c>
      <c r="S88" s="134">
        <v>0</v>
      </c>
      <c r="T88" s="81">
        <v>0</v>
      </c>
      <c r="U88" s="81">
        <v>0</v>
      </c>
      <c r="V88" s="112">
        <v>0</v>
      </c>
      <c r="W88" s="92">
        <v>0</v>
      </c>
      <c r="X88" s="112">
        <v>0</v>
      </c>
      <c r="Y88" s="82">
        <f>SUM(S88:V88)</f>
        <v>0</v>
      </c>
    </row>
    <row r="89" spans="1:25" s="79" customFormat="1" ht="23.25" customHeight="1" hidden="1">
      <c r="A89" s="209" t="s">
        <v>283</v>
      </c>
      <c r="B89" s="210"/>
      <c r="C89" s="210"/>
      <c r="D89" s="210"/>
      <c r="E89" s="210"/>
      <c r="F89" s="75"/>
      <c r="G89" s="211" t="s">
        <v>102</v>
      </c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91">
        <f aca="true" t="shared" si="18" ref="R89:X89">R90</f>
        <v>0</v>
      </c>
      <c r="S89" s="133">
        <f t="shared" si="18"/>
        <v>0</v>
      </c>
      <c r="T89" s="77">
        <f t="shared" si="18"/>
        <v>0</v>
      </c>
      <c r="U89" s="77">
        <f t="shared" si="18"/>
        <v>0</v>
      </c>
      <c r="V89" s="111">
        <f t="shared" si="18"/>
        <v>0</v>
      </c>
      <c r="W89" s="91">
        <f t="shared" si="18"/>
        <v>0</v>
      </c>
      <c r="X89" s="111">
        <f t="shared" si="18"/>
        <v>0</v>
      </c>
      <c r="Y89" s="78"/>
    </row>
    <row r="90" spans="1:25" s="83" customFormat="1" ht="16.5" customHeight="1" hidden="1">
      <c r="A90" s="213" t="s">
        <v>284</v>
      </c>
      <c r="B90" s="214"/>
      <c r="C90" s="214"/>
      <c r="D90" s="214"/>
      <c r="E90" s="214"/>
      <c r="F90" s="215"/>
      <c r="G90" s="216" t="s">
        <v>32</v>
      </c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92">
        <f>SUM(S90:V90)</f>
        <v>0</v>
      </c>
      <c r="S90" s="134">
        <v>0</v>
      </c>
      <c r="T90" s="81">
        <v>0</v>
      </c>
      <c r="U90" s="81">
        <v>0</v>
      </c>
      <c r="V90" s="112">
        <v>0</v>
      </c>
      <c r="W90" s="92">
        <v>0</v>
      </c>
      <c r="X90" s="112">
        <v>0</v>
      </c>
      <c r="Y90" s="82">
        <f>SUM(S90:V90)</f>
        <v>0</v>
      </c>
    </row>
    <row r="91" spans="1:25" s="79" customFormat="1" ht="23.25" customHeight="1">
      <c r="A91" s="209" t="s">
        <v>172</v>
      </c>
      <c r="B91" s="210"/>
      <c r="C91" s="210"/>
      <c r="D91" s="210"/>
      <c r="E91" s="210"/>
      <c r="F91" s="75"/>
      <c r="G91" s="211" t="s">
        <v>103</v>
      </c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91">
        <f>R92</f>
        <v>223873.45</v>
      </c>
      <c r="S91" s="133">
        <f>S92</f>
        <v>34311.22</v>
      </c>
      <c r="T91" s="77">
        <f>T92</f>
        <v>103524.37</v>
      </c>
      <c r="U91" s="77">
        <f>U93</f>
        <v>0</v>
      </c>
      <c r="V91" s="111">
        <f>V93</f>
        <v>0</v>
      </c>
      <c r="W91" s="91">
        <f>W93</f>
        <v>0</v>
      </c>
      <c r="X91" s="111">
        <f>X93</f>
        <v>0</v>
      </c>
      <c r="Y91" s="78"/>
    </row>
    <row r="92" spans="1:25" s="83" customFormat="1" ht="16.5" customHeight="1">
      <c r="A92" s="213" t="s">
        <v>173</v>
      </c>
      <c r="B92" s="214"/>
      <c r="C92" s="214"/>
      <c r="D92" s="214"/>
      <c r="E92" s="214"/>
      <c r="F92" s="215"/>
      <c r="G92" s="216" t="s">
        <v>32</v>
      </c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59">
        <f>S92+T92+U92+V92</f>
        <v>223873.45</v>
      </c>
      <c r="S92" s="134">
        <f>СБР!S96</f>
        <v>34311.22</v>
      </c>
      <c r="T92" s="81">
        <f>СБР!T96</f>
        <v>103524.37</v>
      </c>
      <c r="U92" s="81">
        <f>СБР!U96</f>
        <v>86037.86</v>
      </c>
      <c r="V92" s="80">
        <f>СБР!V96</f>
        <v>0</v>
      </c>
      <c r="W92" s="92">
        <f>СБР!X96</f>
        <v>0</v>
      </c>
      <c r="X92" s="112">
        <f>СБР!X96</f>
        <v>0</v>
      </c>
      <c r="Y92" s="82">
        <f>SUM(S92:V92)</f>
        <v>223873.45</v>
      </c>
    </row>
    <row r="93" spans="1:25" s="83" customFormat="1" ht="16.5" customHeight="1" hidden="1">
      <c r="A93" s="213" t="s">
        <v>174</v>
      </c>
      <c r="B93" s="214"/>
      <c r="C93" s="214"/>
      <c r="D93" s="214"/>
      <c r="E93" s="214"/>
      <c r="F93" s="215"/>
      <c r="G93" s="193" t="s">
        <v>41</v>
      </c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93">
        <f>SUM(S93:V93)</f>
        <v>0</v>
      </c>
      <c r="S93" s="135"/>
      <c r="T93" s="89"/>
      <c r="U93" s="89"/>
      <c r="V93" s="100"/>
      <c r="W93" s="93">
        <v>0</v>
      </c>
      <c r="X93" s="100">
        <v>0</v>
      </c>
      <c r="Y93" s="82">
        <f>SUM(S93:V93)</f>
        <v>0</v>
      </c>
    </row>
    <row r="94" spans="1:25" ht="16.5" customHeight="1">
      <c r="A94" s="147" t="s">
        <v>245</v>
      </c>
      <c r="B94" s="148"/>
      <c r="C94" s="148"/>
      <c r="D94" s="148"/>
      <c r="E94" s="148"/>
      <c r="F94" s="96"/>
      <c r="G94" s="197" t="s">
        <v>110</v>
      </c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38">
        <f aca="true" t="shared" si="19" ref="R94:X96">R95</f>
        <v>198000</v>
      </c>
      <c r="S94" s="131">
        <f t="shared" si="19"/>
        <v>56000</v>
      </c>
      <c r="T94" s="30">
        <f t="shared" si="19"/>
        <v>64000</v>
      </c>
      <c r="U94" s="30">
        <f t="shared" si="19"/>
        <v>39000</v>
      </c>
      <c r="V94" s="55">
        <f t="shared" si="19"/>
        <v>39000</v>
      </c>
      <c r="W94" s="38">
        <f t="shared" si="19"/>
        <v>156000</v>
      </c>
      <c r="X94" s="55">
        <f t="shared" si="19"/>
        <v>156000</v>
      </c>
      <c r="Y94" s="29"/>
    </row>
    <row r="95" spans="1:25" ht="24.75" customHeight="1">
      <c r="A95" s="181" t="s">
        <v>246</v>
      </c>
      <c r="B95" s="182"/>
      <c r="C95" s="182"/>
      <c r="D95" s="182"/>
      <c r="E95" s="182"/>
      <c r="F95" s="201"/>
      <c r="G95" s="202" t="s">
        <v>252</v>
      </c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57">
        <f t="shared" si="19"/>
        <v>198000</v>
      </c>
      <c r="S95" s="128">
        <f t="shared" si="19"/>
        <v>56000</v>
      </c>
      <c r="T95" s="53">
        <f t="shared" si="19"/>
        <v>64000</v>
      </c>
      <c r="U95" s="53">
        <f t="shared" si="19"/>
        <v>39000</v>
      </c>
      <c r="V95" s="107">
        <f t="shared" si="19"/>
        <v>39000</v>
      </c>
      <c r="W95" s="57">
        <f t="shared" si="19"/>
        <v>156000</v>
      </c>
      <c r="X95" s="107">
        <f t="shared" si="19"/>
        <v>156000</v>
      </c>
      <c r="Y95" s="29"/>
    </row>
    <row r="96" spans="1:25" ht="23.25" customHeight="1">
      <c r="A96" s="185" t="s">
        <v>247</v>
      </c>
      <c r="B96" s="186"/>
      <c r="C96" s="186"/>
      <c r="D96" s="186"/>
      <c r="E96" s="186"/>
      <c r="F96" s="97"/>
      <c r="G96" s="199" t="s">
        <v>251</v>
      </c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58">
        <f t="shared" si="19"/>
        <v>198000</v>
      </c>
      <c r="S96" s="129">
        <f t="shared" si="19"/>
        <v>56000</v>
      </c>
      <c r="T96" s="31">
        <f t="shared" si="19"/>
        <v>64000</v>
      </c>
      <c r="U96" s="31">
        <f t="shared" si="19"/>
        <v>39000</v>
      </c>
      <c r="V96" s="108">
        <f t="shared" si="19"/>
        <v>39000</v>
      </c>
      <c r="W96" s="58">
        <f t="shared" si="19"/>
        <v>156000</v>
      </c>
      <c r="X96" s="108">
        <f t="shared" si="19"/>
        <v>156000</v>
      </c>
      <c r="Y96" s="29"/>
    </row>
    <row r="97" spans="1:25" ht="14.25" customHeight="1">
      <c r="A97" s="190" t="s">
        <v>248</v>
      </c>
      <c r="B97" s="191"/>
      <c r="C97" s="191"/>
      <c r="D97" s="191"/>
      <c r="E97" s="191"/>
      <c r="F97" s="44"/>
      <c r="G97" s="195" t="s">
        <v>32</v>
      </c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59">
        <f>СБР!R104</f>
        <v>198000</v>
      </c>
      <c r="S97" s="118">
        <f>СБР!S104</f>
        <v>56000</v>
      </c>
      <c r="T97" s="32">
        <f>СБР!T104</f>
        <v>64000</v>
      </c>
      <c r="U97" s="32">
        <f>СБР!U104</f>
        <v>39000</v>
      </c>
      <c r="V97" s="56">
        <f>СБР!V104</f>
        <v>39000</v>
      </c>
      <c r="W97" s="59">
        <f>СБР!W104</f>
        <v>156000</v>
      </c>
      <c r="X97" s="59">
        <f>СБР!X104</f>
        <v>156000</v>
      </c>
      <c r="Y97" s="29"/>
    </row>
    <row r="98" spans="1:25" ht="16.5" customHeight="1" hidden="1">
      <c r="A98" s="190" t="s">
        <v>249</v>
      </c>
      <c r="B98" s="191"/>
      <c r="C98" s="191"/>
      <c r="D98" s="191"/>
      <c r="E98" s="191"/>
      <c r="F98" s="44"/>
      <c r="G98" s="193" t="s">
        <v>38</v>
      </c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60">
        <f>S98+T98+U98+V98</f>
        <v>36000</v>
      </c>
      <c r="S98" s="130">
        <v>9000</v>
      </c>
      <c r="T98" s="33">
        <v>9000</v>
      </c>
      <c r="U98" s="33">
        <v>9000</v>
      </c>
      <c r="V98" s="109">
        <v>9000</v>
      </c>
      <c r="W98" s="60">
        <v>36000</v>
      </c>
      <c r="X98" s="109">
        <v>36000</v>
      </c>
      <c r="Y98" s="29"/>
    </row>
    <row r="99" spans="1:25" ht="16.5" customHeight="1" hidden="1">
      <c r="A99" s="190" t="s">
        <v>250</v>
      </c>
      <c r="B99" s="191"/>
      <c r="C99" s="191"/>
      <c r="D99" s="191"/>
      <c r="E99" s="191"/>
      <c r="F99" s="44"/>
      <c r="G99" s="193" t="s">
        <v>42</v>
      </c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60">
        <f>S99+T99+U99+V99</f>
        <v>120000</v>
      </c>
      <c r="S99" s="130">
        <v>30000</v>
      </c>
      <c r="T99" s="33">
        <v>30000</v>
      </c>
      <c r="U99" s="33">
        <v>30000</v>
      </c>
      <c r="V99" s="109">
        <v>30000</v>
      </c>
      <c r="W99" s="60">
        <v>120000</v>
      </c>
      <c r="X99" s="109">
        <v>120000</v>
      </c>
      <c r="Y99" s="29"/>
    </row>
    <row r="100" spans="1:25" s="4" customFormat="1" ht="15" customHeight="1">
      <c r="A100" s="147" t="s">
        <v>175</v>
      </c>
      <c r="B100" s="148"/>
      <c r="C100" s="148"/>
      <c r="D100" s="148"/>
      <c r="E100" s="148"/>
      <c r="F100" s="178"/>
      <c r="G100" s="179" t="s">
        <v>49</v>
      </c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38">
        <f>R101</f>
        <v>300870</v>
      </c>
      <c r="S100" s="131">
        <f aca="true" t="shared" si="20" ref="S100:X101">S101</f>
        <v>142124.39</v>
      </c>
      <c r="T100" s="30">
        <f t="shared" si="20"/>
        <v>113975.61</v>
      </c>
      <c r="U100" s="30">
        <f t="shared" si="20"/>
        <v>44770</v>
      </c>
      <c r="V100" s="55">
        <f t="shared" si="20"/>
        <v>0</v>
      </c>
      <c r="W100" s="38">
        <f t="shared" si="20"/>
        <v>165250</v>
      </c>
      <c r="X100" s="55">
        <f t="shared" si="20"/>
        <v>165770</v>
      </c>
      <c r="Y100" s="29">
        <f>SUM(S100:V100)</f>
        <v>300870</v>
      </c>
    </row>
    <row r="101" spans="1:25" s="3" customFormat="1" ht="13.5" customHeight="1">
      <c r="A101" s="185" t="s">
        <v>176</v>
      </c>
      <c r="B101" s="186"/>
      <c r="C101" s="186"/>
      <c r="D101" s="186"/>
      <c r="E101" s="186"/>
      <c r="F101" s="187"/>
      <c r="G101" s="188" t="s">
        <v>99</v>
      </c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58">
        <f>R102</f>
        <v>300870</v>
      </c>
      <c r="S101" s="129">
        <f t="shared" si="20"/>
        <v>142124.39</v>
      </c>
      <c r="T101" s="31">
        <f t="shared" si="20"/>
        <v>113975.61</v>
      </c>
      <c r="U101" s="31">
        <f t="shared" si="20"/>
        <v>44770</v>
      </c>
      <c r="V101" s="108">
        <f t="shared" si="20"/>
        <v>0</v>
      </c>
      <c r="W101" s="58">
        <f t="shared" si="20"/>
        <v>165250</v>
      </c>
      <c r="X101" s="108">
        <f t="shared" si="20"/>
        <v>165770</v>
      </c>
      <c r="Y101" s="29">
        <f>SUM(S101:V101)</f>
        <v>300870</v>
      </c>
    </row>
    <row r="102" spans="1:25" ht="14.25" customHeight="1">
      <c r="A102" s="190" t="s">
        <v>177</v>
      </c>
      <c r="B102" s="191"/>
      <c r="C102" s="191"/>
      <c r="D102" s="191"/>
      <c r="E102" s="191"/>
      <c r="F102" s="192"/>
      <c r="G102" s="193" t="s">
        <v>32</v>
      </c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59">
        <f>СБР!R109</f>
        <v>300870</v>
      </c>
      <c r="S102" s="118">
        <f>СБР!S109</f>
        <v>142124.39</v>
      </c>
      <c r="T102" s="32">
        <f>СБР!T109</f>
        <v>113975.61</v>
      </c>
      <c r="U102" s="32">
        <f>СБР!U109</f>
        <v>44770</v>
      </c>
      <c r="V102" s="56">
        <f>СБР!V109</f>
        <v>0</v>
      </c>
      <c r="W102" s="59">
        <f>СБР!W109</f>
        <v>165250</v>
      </c>
      <c r="X102" s="59">
        <f>СБР!X109</f>
        <v>165770</v>
      </c>
      <c r="Y102" s="29">
        <f>SUM(S102:V102)</f>
        <v>300870</v>
      </c>
    </row>
    <row r="103" spans="1:25" ht="16.5" customHeight="1" hidden="1">
      <c r="A103" s="190" t="s">
        <v>178</v>
      </c>
      <c r="B103" s="191"/>
      <c r="C103" s="191"/>
      <c r="D103" s="191"/>
      <c r="E103" s="191"/>
      <c r="F103" s="192"/>
      <c r="G103" s="193" t="s">
        <v>41</v>
      </c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60">
        <f>SUM(S103:V103)</f>
        <v>60870</v>
      </c>
      <c r="S103" s="130">
        <v>20290</v>
      </c>
      <c r="T103" s="33">
        <v>20290</v>
      </c>
      <c r="U103" s="33">
        <v>20290</v>
      </c>
      <c r="V103" s="109">
        <f>35000-35000</f>
        <v>0</v>
      </c>
      <c r="W103" s="60">
        <v>65250</v>
      </c>
      <c r="X103" s="109">
        <v>65770</v>
      </c>
      <c r="Y103" s="29">
        <f>SUM(S103:X103)</f>
        <v>191890</v>
      </c>
    </row>
    <row r="104" spans="1:25" ht="16.5" customHeight="1" hidden="1">
      <c r="A104" s="190" t="s">
        <v>179</v>
      </c>
      <c r="B104" s="191"/>
      <c r="C104" s="191"/>
      <c r="D104" s="191"/>
      <c r="E104" s="191"/>
      <c r="F104" s="192"/>
      <c r="G104" s="193" t="s">
        <v>42</v>
      </c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60">
        <f>SUM(S104:V104)</f>
        <v>100000</v>
      </c>
      <c r="S104" s="130">
        <v>33400</v>
      </c>
      <c r="T104" s="33">
        <v>33300</v>
      </c>
      <c r="U104" s="33">
        <v>33300</v>
      </c>
      <c r="V104" s="109">
        <v>0</v>
      </c>
      <c r="W104" s="60">
        <v>100000</v>
      </c>
      <c r="X104" s="109">
        <v>100000</v>
      </c>
      <c r="Y104" s="29">
        <f>SUM(S104:X104)</f>
        <v>300000</v>
      </c>
    </row>
    <row r="105" spans="1:25" ht="16.5" customHeight="1" hidden="1">
      <c r="A105" s="190" t="s">
        <v>180</v>
      </c>
      <c r="B105" s="191"/>
      <c r="C105" s="191"/>
      <c r="D105" s="191"/>
      <c r="E105" s="191"/>
      <c r="F105" s="192"/>
      <c r="G105" s="193" t="s">
        <v>43</v>
      </c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60">
        <f>SUM(S105:V105)</f>
        <v>0</v>
      </c>
      <c r="S105" s="130">
        <v>0</v>
      </c>
      <c r="T105" s="33">
        <v>0</v>
      </c>
      <c r="U105" s="33">
        <v>0</v>
      </c>
      <c r="V105" s="109">
        <v>0</v>
      </c>
      <c r="W105" s="60">
        <v>0</v>
      </c>
      <c r="X105" s="109">
        <v>0</v>
      </c>
      <c r="Y105" s="29">
        <f>SUM(S105:X105)</f>
        <v>0</v>
      </c>
    </row>
    <row r="106" spans="1:25" ht="16.5" customHeight="1" hidden="1">
      <c r="A106" s="190" t="s">
        <v>181</v>
      </c>
      <c r="B106" s="191"/>
      <c r="C106" s="191"/>
      <c r="D106" s="191"/>
      <c r="E106" s="191"/>
      <c r="F106" s="192"/>
      <c r="G106" s="195" t="s">
        <v>75</v>
      </c>
      <c r="H106" s="196"/>
      <c r="I106" s="196"/>
      <c r="J106" s="196"/>
      <c r="K106" s="196"/>
      <c r="L106" s="196"/>
      <c r="M106" s="196"/>
      <c r="N106" s="196"/>
      <c r="O106" s="196"/>
      <c r="P106" s="196"/>
      <c r="Q106" s="196"/>
      <c r="R106" s="60">
        <f>SUM(S106:V106)</f>
        <v>0</v>
      </c>
      <c r="S106" s="130">
        <v>0</v>
      </c>
      <c r="T106" s="33">
        <v>0</v>
      </c>
      <c r="U106" s="33">
        <v>0</v>
      </c>
      <c r="V106" s="109">
        <v>0</v>
      </c>
      <c r="W106" s="60">
        <v>0</v>
      </c>
      <c r="X106" s="109">
        <v>0</v>
      </c>
      <c r="Y106" s="29">
        <f>SUM(S106:X106)</f>
        <v>0</v>
      </c>
    </row>
    <row r="107" spans="1:25" s="4" customFormat="1" ht="15.75" customHeight="1" hidden="1">
      <c r="A107" s="147" t="s">
        <v>182</v>
      </c>
      <c r="B107" s="148"/>
      <c r="C107" s="148"/>
      <c r="D107" s="148"/>
      <c r="E107" s="148"/>
      <c r="F107" s="178"/>
      <c r="G107" s="179" t="s">
        <v>104</v>
      </c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38">
        <f>R108</f>
        <v>0</v>
      </c>
      <c r="S107" s="131">
        <f aca="true" t="shared" si="21" ref="S107:X109">S108</f>
        <v>0</v>
      </c>
      <c r="T107" s="30">
        <f t="shared" si="21"/>
        <v>0</v>
      </c>
      <c r="U107" s="30">
        <f t="shared" si="21"/>
        <v>0</v>
      </c>
      <c r="V107" s="55">
        <f t="shared" si="21"/>
        <v>0</v>
      </c>
      <c r="W107" s="38">
        <f t="shared" si="21"/>
        <v>0</v>
      </c>
      <c r="X107" s="55">
        <f t="shared" si="21"/>
        <v>0</v>
      </c>
      <c r="Y107" s="29">
        <f>SUM(S107:V107)</f>
        <v>0</v>
      </c>
    </row>
    <row r="108" spans="1:25" s="3" customFormat="1" ht="15.75" customHeight="1" hidden="1">
      <c r="A108" s="181" t="s">
        <v>183</v>
      </c>
      <c r="B108" s="182"/>
      <c r="C108" s="182"/>
      <c r="D108" s="182"/>
      <c r="E108" s="182"/>
      <c r="F108" s="201"/>
      <c r="G108" s="183" t="s">
        <v>109</v>
      </c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57">
        <f>R109</f>
        <v>0</v>
      </c>
      <c r="S108" s="128">
        <f t="shared" si="21"/>
        <v>0</v>
      </c>
      <c r="T108" s="53">
        <f t="shared" si="21"/>
        <v>0</v>
      </c>
      <c r="U108" s="53">
        <f t="shared" si="21"/>
        <v>0</v>
      </c>
      <c r="V108" s="107">
        <f t="shared" si="21"/>
        <v>0</v>
      </c>
      <c r="W108" s="57">
        <f t="shared" si="21"/>
        <v>0</v>
      </c>
      <c r="X108" s="107">
        <f t="shared" si="21"/>
        <v>0</v>
      </c>
      <c r="Y108" s="29">
        <f>SUM(S108:V108)</f>
        <v>0</v>
      </c>
    </row>
    <row r="109" spans="1:25" s="3" customFormat="1" ht="13.5" customHeight="1" hidden="1">
      <c r="A109" s="185" t="s">
        <v>184</v>
      </c>
      <c r="B109" s="186"/>
      <c r="C109" s="186"/>
      <c r="D109" s="186"/>
      <c r="E109" s="186"/>
      <c r="F109" s="187"/>
      <c r="G109" s="188" t="s">
        <v>105</v>
      </c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58">
        <f>R110</f>
        <v>0</v>
      </c>
      <c r="S109" s="129">
        <f t="shared" si="21"/>
        <v>0</v>
      </c>
      <c r="T109" s="31">
        <f t="shared" si="21"/>
        <v>0</v>
      </c>
      <c r="U109" s="31">
        <f t="shared" si="21"/>
        <v>0</v>
      </c>
      <c r="V109" s="108">
        <f t="shared" si="21"/>
        <v>0</v>
      </c>
      <c r="W109" s="58">
        <f t="shared" si="21"/>
        <v>0</v>
      </c>
      <c r="X109" s="108">
        <f t="shared" si="21"/>
        <v>0</v>
      </c>
      <c r="Y109" s="29">
        <f>SUM(S109:V109)</f>
        <v>0</v>
      </c>
    </row>
    <row r="110" spans="1:25" ht="15" customHeight="1" hidden="1">
      <c r="A110" s="190" t="s">
        <v>185</v>
      </c>
      <c r="B110" s="191"/>
      <c r="C110" s="191"/>
      <c r="D110" s="191"/>
      <c r="E110" s="191"/>
      <c r="F110" s="192"/>
      <c r="G110" s="193" t="s">
        <v>106</v>
      </c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59">
        <f aca="true" t="shared" si="22" ref="R110:X110">SUM(R111:R111)</f>
        <v>0</v>
      </c>
      <c r="S110" s="118">
        <f t="shared" si="22"/>
        <v>0</v>
      </c>
      <c r="T110" s="32">
        <f t="shared" si="22"/>
        <v>0</v>
      </c>
      <c r="U110" s="32">
        <f t="shared" si="22"/>
        <v>0</v>
      </c>
      <c r="V110" s="56">
        <f t="shared" si="22"/>
        <v>0</v>
      </c>
      <c r="W110" s="59">
        <f t="shared" si="22"/>
        <v>0</v>
      </c>
      <c r="X110" s="56">
        <f t="shared" si="22"/>
        <v>0</v>
      </c>
      <c r="Y110" s="29">
        <f>SUM(S110:V110)</f>
        <v>0</v>
      </c>
    </row>
    <row r="111" spans="1:25" ht="24.75" customHeight="1" hidden="1">
      <c r="A111" s="190" t="s">
        <v>186</v>
      </c>
      <c r="B111" s="191"/>
      <c r="C111" s="191"/>
      <c r="D111" s="191"/>
      <c r="E111" s="191"/>
      <c r="F111" s="192"/>
      <c r="G111" s="193" t="s">
        <v>108</v>
      </c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60">
        <f>SUM(S111:V111)</f>
        <v>0</v>
      </c>
      <c r="S111" s="130"/>
      <c r="T111" s="33"/>
      <c r="U111" s="33"/>
      <c r="V111" s="109"/>
      <c r="W111" s="60">
        <v>0</v>
      </c>
      <c r="X111" s="109">
        <v>0</v>
      </c>
      <c r="Y111" s="29">
        <f>SUM(S111:X111)</f>
        <v>0</v>
      </c>
    </row>
    <row r="112" spans="1:25" s="4" customFormat="1" ht="16.5" customHeight="1">
      <c r="A112" s="147" t="s">
        <v>187</v>
      </c>
      <c r="B112" s="148"/>
      <c r="C112" s="148"/>
      <c r="D112" s="148"/>
      <c r="E112" s="148"/>
      <c r="F112" s="178"/>
      <c r="G112" s="179" t="s">
        <v>51</v>
      </c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38">
        <f aca="true" t="shared" si="23" ref="R112:X112">R114+R121+R126+R129+R134</f>
        <v>2150000</v>
      </c>
      <c r="S112" s="131">
        <f t="shared" si="23"/>
        <v>563719.39</v>
      </c>
      <c r="T112" s="30">
        <f t="shared" si="23"/>
        <v>1136201.28</v>
      </c>
      <c r="U112" s="30">
        <f t="shared" si="23"/>
        <v>387429.32999999996</v>
      </c>
      <c r="V112" s="55">
        <f t="shared" si="23"/>
        <v>62650</v>
      </c>
      <c r="W112" s="38">
        <f t="shared" si="23"/>
        <v>1510110</v>
      </c>
      <c r="X112" s="55">
        <f t="shared" si="23"/>
        <v>1514890</v>
      </c>
      <c r="Y112" s="29">
        <f>SUM(S112:V112)</f>
        <v>2150000</v>
      </c>
    </row>
    <row r="113" spans="1:25" s="51" customFormat="1" ht="16.5" customHeight="1">
      <c r="A113" s="181" t="s">
        <v>190</v>
      </c>
      <c r="B113" s="182"/>
      <c r="C113" s="182"/>
      <c r="D113" s="182"/>
      <c r="E113" s="182"/>
      <c r="F113" s="49"/>
      <c r="G113" s="183" t="s">
        <v>51</v>
      </c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57">
        <f>R112</f>
        <v>2150000</v>
      </c>
      <c r="S113" s="128">
        <f aca="true" t="shared" si="24" ref="S113:X113">S112</f>
        <v>563719.39</v>
      </c>
      <c r="T113" s="53">
        <f t="shared" si="24"/>
        <v>1136201.28</v>
      </c>
      <c r="U113" s="53">
        <f t="shared" si="24"/>
        <v>387429.32999999996</v>
      </c>
      <c r="V113" s="107">
        <f t="shared" si="24"/>
        <v>62650</v>
      </c>
      <c r="W113" s="57">
        <f t="shared" si="24"/>
        <v>1510110</v>
      </c>
      <c r="X113" s="107">
        <f t="shared" si="24"/>
        <v>1514890</v>
      </c>
      <c r="Y113" s="50"/>
    </row>
    <row r="114" spans="1:25" s="3" customFormat="1" ht="16.5" customHeight="1">
      <c r="A114" s="185" t="s">
        <v>189</v>
      </c>
      <c r="B114" s="186"/>
      <c r="C114" s="186"/>
      <c r="D114" s="186"/>
      <c r="E114" s="186"/>
      <c r="F114" s="187"/>
      <c r="G114" s="188" t="s">
        <v>52</v>
      </c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58">
        <f>R115</f>
        <v>1013930</v>
      </c>
      <c r="S114" s="129">
        <f aca="true" t="shared" si="25" ref="S114:X114">S115</f>
        <v>372000</v>
      </c>
      <c r="T114" s="31">
        <f t="shared" si="25"/>
        <v>491930</v>
      </c>
      <c r="U114" s="31">
        <f t="shared" si="25"/>
        <v>100000</v>
      </c>
      <c r="V114" s="108">
        <f t="shared" si="25"/>
        <v>50000</v>
      </c>
      <c r="W114" s="58">
        <f t="shared" si="25"/>
        <v>866950</v>
      </c>
      <c r="X114" s="108">
        <f t="shared" si="25"/>
        <v>869700</v>
      </c>
      <c r="Y114" s="29">
        <f>SUM(S114:V114)</f>
        <v>1013930</v>
      </c>
    </row>
    <row r="115" spans="1:25" ht="14.25" customHeight="1">
      <c r="A115" s="190" t="s">
        <v>188</v>
      </c>
      <c r="B115" s="191"/>
      <c r="C115" s="191"/>
      <c r="D115" s="191"/>
      <c r="E115" s="191"/>
      <c r="F115" s="192"/>
      <c r="G115" s="193" t="s">
        <v>32</v>
      </c>
      <c r="H115" s="194"/>
      <c r="I115" s="194"/>
      <c r="J115" s="194"/>
      <c r="K115" s="194"/>
      <c r="L115" s="194"/>
      <c r="M115" s="194"/>
      <c r="N115" s="194"/>
      <c r="O115" s="194"/>
      <c r="P115" s="194"/>
      <c r="Q115" s="194"/>
      <c r="R115" s="59">
        <f>СБР!R123</f>
        <v>1013930</v>
      </c>
      <c r="S115" s="118">
        <f>СБР!S123</f>
        <v>372000</v>
      </c>
      <c r="T115" s="32">
        <f>СБР!T123</f>
        <v>491930</v>
      </c>
      <c r="U115" s="32">
        <f>СБР!U123</f>
        <v>100000</v>
      </c>
      <c r="V115" s="56">
        <f>СБР!V123</f>
        <v>50000</v>
      </c>
      <c r="W115" s="59">
        <f>СБР!W123</f>
        <v>866950</v>
      </c>
      <c r="X115" s="59">
        <f>СБР!X123</f>
        <v>869700</v>
      </c>
      <c r="Y115" s="29">
        <f>SUM(S115:V115)</f>
        <v>1013930</v>
      </c>
    </row>
    <row r="116" spans="1:25" ht="16.5" customHeight="1" hidden="1">
      <c r="A116" s="190" t="s">
        <v>191</v>
      </c>
      <c r="B116" s="191"/>
      <c r="C116" s="191"/>
      <c r="D116" s="191"/>
      <c r="E116" s="191"/>
      <c r="F116" s="192"/>
      <c r="G116" s="193" t="s">
        <v>39</v>
      </c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60">
        <f>SUM(S116:V116)</f>
        <v>0</v>
      </c>
      <c r="S116" s="130">
        <f>2360-2360</f>
        <v>0</v>
      </c>
      <c r="T116" s="33">
        <v>0</v>
      </c>
      <c r="U116" s="33">
        <v>0</v>
      </c>
      <c r="V116" s="109">
        <v>0</v>
      </c>
      <c r="W116" s="60">
        <v>0</v>
      </c>
      <c r="X116" s="109">
        <v>0</v>
      </c>
      <c r="Y116" s="29">
        <f>SUM(S116:X116)</f>
        <v>0</v>
      </c>
    </row>
    <row r="117" spans="1:25" ht="16.5" customHeight="1" hidden="1">
      <c r="A117" s="190" t="s">
        <v>192</v>
      </c>
      <c r="B117" s="191"/>
      <c r="C117" s="191"/>
      <c r="D117" s="191"/>
      <c r="E117" s="191"/>
      <c r="F117" s="192"/>
      <c r="G117" s="193" t="s">
        <v>40</v>
      </c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  <c r="R117" s="60">
        <f>SUM(S117:V117)</f>
        <v>500000</v>
      </c>
      <c r="S117" s="130">
        <v>200000</v>
      </c>
      <c r="T117" s="33">
        <v>150000</v>
      </c>
      <c r="U117" s="33">
        <v>100000</v>
      </c>
      <c r="V117" s="109">
        <v>50000</v>
      </c>
      <c r="W117" s="60">
        <v>500000</v>
      </c>
      <c r="X117" s="109">
        <v>500000</v>
      </c>
      <c r="Y117" s="29">
        <f>SUM(S117:X117)</f>
        <v>1500000</v>
      </c>
    </row>
    <row r="118" spans="1:25" ht="16.5" customHeight="1" hidden="1">
      <c r="A118" s="190" t="s">
        <v>193</v>
      </c>
      <c r="B118" s="191"/>
      <c r="C118" s="191"/>
      <c r="D118" s="191"/>
      <c r="E118" s="191"/>
      <c r="F118" s="192"/>
      <c r="G118" s="193" t="s">
        <v>41</v>
      </c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60">
        <f>SUM(S118:V118)</f>
        <v>343930</v>
      </c>
      <c r="S118" s="130">
        <v>172000</v>
      </c>
      <c r="T118" s="33">
        <v>171930</v>
      </c>
      <c r="U118" s="33">
        <v>0</v>
      </c>
      <c r="V118" s="109">
        <v>0</v>
      </c>
      <c r="W118" s="60">
        <v>366950</v>
      </c>
      <c r="X118" s="109">
        <v>369700</v>
      </c>
      <c r="Y118" s="29">
        <f>SUM(S118:X118)</f>
        <v>1080580</v>
      </c>
    </row>
    <row r="119" spans="1:25" ht="21.75" customHeight="1" hidden="1">
      <c r="A119" s="190" t="s">
        <v>194</v>
      </c>
      <c r="B119" s="191"/>
      <c r="C119" s="191"/>
      <c r="D119" s="191"/>
      <c r="E119" s="191"/>
      <c r="F119" s="192"/>
      <c r="G119" s="193" t="s">
        <v>50</v>
      </c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60">
        <f>SUM(S119:V119)</f>
        <v>0</v>
      </c>
      <c r="S119" s="130">
        <v>0</v>
      </c>
      <c r="T119" s="33">
        <f>100000-100000</f>
        <v>0</v>
      </c>
      <c r="U119" s="33">
        <f>80400-80400+44361.1-44361.1</f>
        <v>0</v>
      </c>
      <c r="V119" s="109">
        <f>180000-180000</f>
        <v>0</v>
      </c>
      <c r="W119" s="60">
        <v>0</v>
      </c>
      <c r="X119" s="109">
        <v>0</v>
      </c>
      <c r="Y119" s="29">
        <f>SUM(S119:X119)</f>
        <v>0</v>
      </c>
    </row>
    <row r="120" spans="1:25" ht="16.5" customHeight="1" hidden="1">
      <c r="A120" s="190" t="s">
        <v>195</v>
      </c>
      <c r="B120" s="191"/>
      <c r="C120" s="191"/>
      <c r="D120" s="191"/>
      <c r="E120" s="191"/>
      <c r="F120" s="192"/>
      <c r="G120" s="195" t="s">
        <v>75</v>
      </c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60">
        <f>SUM(S120:V120)</f>
        <v>0</v>
      </c>
      <c r="S120" s="130">
        <v>0</v>
      </c>
      <c r="T120" s="33">
        <f>100000-100000</f>
        <v>0</v>
      </c>
      <c r="U120" s="33">
        <f>80400-80400</f>
        <v>0</v>
      </c>
      <c r="V120" s="109">
        <v>0</v>
      </c>
      <c r="W120" s="60">
        <v>0</v>
      </c>
      <c r="X120" s="109">
        <v>0</v>
      </c>
      <c r="Y120" s="29">
        <f>SUM(S120:X120)</f>
        <v>0</v>
      </c>
    </row>
    <row r="121" spans="1:25" s="3" customFormat="1" ht="24.75" customHeight="1">
      <c r="A121" s="185" t="s">
        <v>196</v>
      </c>
      <c r="B121" s="186"/>
      <c r="C121" s="186"/>
      <c r="D121" s="186"/>
      <c r="E121" s="186"/>
      <c r="F121" s="187"/>
      <c r="G121" s="188" t="s">
        <v>53</v>
      </c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58">
        <f>R122</f>
        <v>621580</v>
      </c>
      <c r="S121" s="129">
        <f aca="true" t="shared" si="26" ref="S121:X121">S122</f>
        <v>93595.78000000001</v>
      </c>
      <c r="T121" s="31">
        <f t="shared" si="26"/>
        <v>257990</v>
      </c>
      <c r="U121" s="31">
        <f>U122</f>
        <v>269994.22</v>
      </c>
      <c r="V121" s="108">
        <f t="shared" si="26"/>
        <v>0</v>
      </c>
      <c r="W121" s="58">
        <f t="shared" si="26"/>
        <v>381720</v>
      </c>
      <c r="X121" s="108">
        <f t="shared" si="26"/>
        <v>382930</v>
      </c>
      <c r="Y121" s="29">
        <f>SUM(S121:V121)</f>
        <v>621580</v>
      </c>
    </row>
    <row r="122" spans="1:25" ht="15.75" customHeight="1">
      <c r="A122" s="190" t="s">
        <v>197</v>
      </c>
      <c r="B122" s="191"/>
      <c r="C122" s="191"/>
      <c r="D122" s="191"/>
      <c r="E122" s="191"/>
      <c r="F122" s="192"/>
      <c r="G122" s="193" t="s">
        <v>32</v>
      </c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59">
        <f>СБР!R130</f>
        <v>621580</v>
      </c>
      <c r="S122" s="118">
        <f>СБР!S130</f>
        <v>93595.78000000001</v>
      </c>
      <c r="T122" s="32">
        <f>СБР!T130</f>
        <v>257990</v>
      </c>
      <c r="U122" s="32">
        <f>СБР!U130</f>
        <v>269994.22</v>
      </c>
      <c r="V122" s="56">
        <f>СБР!V130</f>
        <v>0</v>
      </c>
      <c r="W122" s="59">
        <f>СБР!W130</f>
        <v>381720</v>
      </c>
      <c r="X122" s="59">
        <f>СБР!X130</f>
        <v>382930</v>
      </c>
      <c r="Y122" s="29">
        <f>SUM(S122:V122)</f>
        <v>621580</v>
      </c>
    </row>
    <row r="123" spans="1:25" ht="16.5" customHeight="1">
      <c r="A123" s="190" t="s">
        <v>198</v>
      </c>
      <c r="B123" s="191"/>
      <c r="C123" s="191"/>
      <c r="D123" s="191"/>
      <c r="E123" s="191"/>
      <c r="F123" s="192"/>
      <c r="G123" s="193" t="s">
        <v>39</v>
      </c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60">
        <f>SUM(S123:V123)</f>
        <v>0</v>
      </c>
      <c r="S123" s="130">
        <v>0</v>
      </c>
      <c r="T123" s="33">
        <v>0</v>
      </c>
      <c r="U123" s="33">
        <v>0</v>
      </c>
      <c r="V123" s="109">
        <v>0</v>
      </c>
      <c r="W123" s="60">
        <v>0</v>
      </c>
      <c r="X123" s="109">
        <v>0</v>
      </c>
      <c r="Y123" s="29">
        <f>SUM(S123:X123)</f>
        <v>0</v>
      </c>
    </row>
    <row r="124" spans="1:25" ht="16.5" customHeight="1">
      <c r="A124" s="190" t="s">
        <v>199</v>
      </c>
      <c r="B124" s="191"/>
      <c r="C124" s="191"/>
      <c r="D124" s="191"/>
      <c r="E124" s="191"/>
      <c r="F124" s="192"/>
      <c r="G124" s="193" t="s">
        <v>41</v>
      </c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60">
        <f>SUM(S124:V124)</f>
        <v>371580</v>
      </c>
      <c r="S124" s="130">
        <v>185790</v>
      </c>
      <c r="T124" s="33">
        <v>185790</v>
      </c>
      <c r="U124" s="33">
        <v>0</v>
      </c>
      <c r="V124" s="109">
        <v>0</v>
      </c>
      <c r="W124" s="60">
        <v>381720</v>
      </c>
      <c r="X124" s="109">
        <v>382930</v>
      </c>
      <c r="Y124" s="29">
        <f>SUM(S124:X124)</f>
        <v>1136230</v>
      </c>
    </row>
    <row r="125" spans="1:25" ht="16.5" customHeight="1">
      <c r="A125" s="190" t="s">
        <v>200</v>
      </c>
      <c r="B125" s="191"/>
      <c r="C125" s="191"/>
      <c r="D125" s="191"/>
      <c r="E125" s="191"/>
      <c r="F125" s="192"/>
      <c r="G125" s="195" t="s">
        <v>75</v>
      </c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60">
        <f>SUM(S125:V125)</f>
        <v>0</v>
      </c>
      <c r="S125" s="130">
        <v>0</v>
      </c>
      <c r="T125" s="33">
        <v>0</v>
      </c>
      <c r="U125" s="33">
        <v>0</v>
      </c>
      <c r="V125" s="109">
        <v>0</v>
      </c>
      <c r="W125" s="60">
        <v>0</v>
      </c>
      <c r="X125" s="109">
        <v>0</v>
      </c>
      <c r="Y125" s="29">
        <f>SUM(S125:X125)</f>
        <v>0</v>
      </c>
    </row>
    <row r="126" spans="1:25" s="3" customFormat="1" ht="16.5" customHeight="1">
      <c r="A126" s="185" t="s">
        <v>201</v>
      </c>
      <c r="B126" s="186"/>
      <c r="C126" s="186"/>
      <c r="D126" s="186"/>
      <c r="E126" s="186"/>
      <c r="F126" s="187"/>
      <c r="G126" s="188" t="s">
        <v>54</v>
      </c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58">
        <f>R127</f>
        <v>40000</v>
      </c>
      <c r="S126" s="129">
        <f aca="true" t="shared" si="27" ref="S126:X127">S127</f>
        <v>0</v>
      </c>
      <c r="T126" s="31">
        <f t="shared" si="27"/>
        <v>40000</v>
      </c>
      <c r="U126" s="31">
        <f t="shared" si="27"/>
        <v>0</v>
      </c>
      <c r="V126" s="108">
        <f t="shared" si="27"/>
        <v>0</v>
      </c>
      <c r="W126" s="58">
        <f t="shared" si="27"/>
        <v>0</v>
      </c>
      <c r="X126" s="108">
        <f t="shared" si="27"/>
        <v>0</v>
      </c>
      <c r="Y126" s="29">
        <f>SUM(S126:V126)</f>
        <v>40000</v>
      </c>
    </row>
    <row r="127" spans="1:25" ht="16.5" customHeight="1">
      <c r="A127" s="190" t="s">
        <v>202</v>
      </c>
      <c r="B127" s="191"/>
      <c r="C127" s="191"/>
      <c r="D127" s="191"/>
      <c r="E127" s="191"/>
      <c r="F127" s="192"/>
      <c r="G127" s="193" t="s">
        <v>32</v>
      </c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59">
        <f>R128</f>
        <v>40000</v>
      </c>
      <c r="S127" s="118">
        <f t="shared" si="27"/>
        <v>0</v>
      </c>
      <c r="T127" s="32">
        <f t="shared" si="27"/>
        <v>40000</v>
      </c>
      <c r="U127" s="32">
        <f t="shared" si="27"/>
        <v>0</v>
      </c>
      <c r="V127" s="56">
        <f t="shared" si="27"/>
        <v>0</v>
      </c>
      <c r="W127" s="59">
        <f t="shared" si="27"/>
        <v>0</v>
      </c>
      <c r="X127" s="56">
        <f t="shared" si="27"/>
        <v>0</v>
      </c>
      <c r="Y127" s="29">
        <f>SUM(S127:V127)</f>
        <v>40000</v>
      </c>
    </row>
    <row r="128" spans="1:25" ht="16.5" customHeight="1">
      <c r="A128" s="190" t="s">
        <v>203</v>
      </c>
      <c r="B128" s="191"/>
      <c r="C128" s="191"/>
      <c r="D128" s="191"/>
      <c r="E128" s="191"/>
      <c r="F128" s="192"/>
      <c r="G128" s="193" t="s">
        <v>41</v>
      </c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60">
        <f>SUM(S128:V128)</f>
        <v>40000</v>
      </c>
      <c r="S128" s="130">
        <v>0</v>
      </c>
      <c r="T128" s="33">
        <v>40000</v>
      </c>
      <c r="U128" s="33">
        <v>0</v>
      </c>
      <c r="V128" s="109">
        <v>0</v>
      </c>
      <c r="W128" s="60">
        <v>0</v>
      </c>
      <c r="X128" s="109">
        <v>0</v>
      </c>
      <c r="Y128" s="29">
        <f>SUM(S128:X128)</f>
        <v>40000</v>
      </c>
    </row>
    <row r="129" spans="1:25" s="3" customFormat="1" ht="16.5" customHeight="1">
      <c r="A129" s="185" t="s">
        <v>204</v>
      </c>
      <c r="B129" s="186"/>
      <c r="C129" s="186"/>
      <c r="D129" s="186"/>
      <c r="E129" s="186"/>
      <c r="F129" s="187"/>
      <c r="G129" s="188" t="s">
        <v>55</v>
      </c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58">
        <f aca="true" t="shared" si="28" ref="R129:X129">R130</f>
        <v>90000</v>
      </c>
      <c r="S129" s="129">
        <f t="shared" si="28"/>
        <v>16878.61</v>
      </c>
      <c r="T129" s="31">
        <f t="shared" si="28"/>
        <v>59536.28</v>
      </c>
      <c r="U129" s="31">
        <f t="shared" si="28"/>
        <v>5935.11</v>
      </c>
      <c r="V129" s="108">
        <f t="shared" si="28"/>
        <v>7650</v>
      </c>
      <c r="W129" s="58">
        <f t="shared" si="28"/>
        <v>41090</v>
      </c>
      <c r="X129" s="108">
        <f t="shared" si="28"/>
        <v>41220</v>
      </c>
      <c r="Y129" s="29">
        <f>SUM(S129:V129)</f>
        <v>90000</v>
      </c>
    </row>
    <row r="130" spans="1:25" ht="15" customHeight="1">
      <c r="A130" s="190" t="s">
        <v>205</v>
      </c>
      <c r="B130" s="191"/>
      <c r="C130" s="191"/>
      <c r="D130" s="191"/>
      <c r="E130" s="191"/>
      <c r="F130" s="192"/>
      <c r="G130" s="193" t="s">
        <v>32</v>
      </c>
      <c r="H130" s="194"/>
      <c r="I130" s="194"/>
      <c r="J130" s="194"/>
      <c r="K130" s="194"/>
      <c r="L130" s="194"/>
      <c r="M130" s="194"/>
      <c r="N130" s="194"/>
      <c r="O130" s="194"/>
      <c r="P130" s="194"/>
      <c r="Q130" s="194"/>
      <c r="R130" s="59">
        <f>СБР!R139</f>
        <v>90000</v>
      </c>
      <c r="S130" s="118">
        <f>СБР!S139</f>
        <v>16878.61</v>
      </c>
      <c r="T130" s="32">
        <f>СБР!T139</f>
        <v>59536.28</v>
      </c>
      <c r="U130" s="32">
        <f>СБР!U139</f>
        <v>5935.11</v>
      </c>
      <c r="V130" s="56">
        <f>СБР!V139</f>
        <v>7650</v>
      </c>
      <c r="W130" s="59">
        <f>СБР!W139</f>
        <v>41090</v>
      </c>
      <c r="X130" s="59">
        <f>СБР!X139</f>
        <v>41220</v>
      </c>
      <c r="Y130" s="29">
        <f>SUM(S130:V130)</f>
        <v>90000</v>
      </c>
    </row>
    <row r="131" spans="1:25" ht="16.5" customHeight="1" hidden="1">
      <c r="A131" s="190" t="s">
        <v>206</v>
      </c>
      <c r="B131" s="191"/>
      <c r="C131" s="191"/>
      <c r="D131" s="191"/>
      <c r="E131" s="191"/>
      <c r="F131" s="192"/>
      <c r="G131" s="193" t="s">
        <v>41</v>
      </c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60">
        <f>SUM(S131:V131)</f>
        <v>34000</v>
      </c>
      <c r="S131" s="130">
        <v>14650</v>
      </c>
      <c r="T131" s="33">
        <v>10050</v>
      </c>
      <c r="U131" s="33">
        <v>4650</v>
      </c>
      <c r="V131" s="109">
        <v>4650</v>
      </c>
      <c r="W131" s="60">
        <v>35090</v>
      </c>
      <c r="X131" s="109">
        <v>35220</v>
      </c>
      <c r="Y131" s="29">
        <f>SUM(S131:X131)</f>
        <v>104310</v>
      </c>
    </row>
    <row r="132" spans="1:25" ht="16.5" customHeight="1" hidden="1">
      <c r="A132" s="190" t="s">
        <v>207</v>
      </c>
      <c r="B132" s="191"/>
      <c r="C132" s="191"/>
      <c r="D132" s="191"/>
      <c r="E132" s="191"/>
      <c r="F132" s="192"/>
      <c r="G132" s="193" t="s">
        <v>42</v>
      </c>
      <c r="H132" s="194"/>
      <c r="I132" s="194"/>
      <c r="J132" s="194"/>
      <c r="K132" s="194"/>
      <c r="L132" s="194"/>
      <c r="M132" s="194"/>
      <c r="N132" s="194"/>
      <c r="O132" s="194"/>
      <c r="P132" s="194"/>
      <c r="Q132" s="194"/>
      <c r="R132" s="60">
        <f>SUM(S132:V132)</f>
        <v>0</v>
      </c>
      <c r="S132" s="130">
        <v>0</v>
      </c>
      <c r="T132" s="33">
        <v>0</v>
      </c>
      <c r="U132" s="33">
        <v>0</v>
      </c>
      <c r="V132" s="109">
        <v>0</v>
      </c>
      <c r="W132" s="60">
        <v>0</v>
      </c>
      <c r="X132" s="109">
        <v>0</v>
      </c>
      <c r="Y132" s="29">
        <f>SUM(S132:X132)</f>
        <v>0</v>
      </c>
    </row>
    <row r="133" spans="1:25" ht="16.5" customHeight="1" hidden="1">
      <c r="A133" s="190" t="s">
        <v>208</v>
      </c>
      <c r="B133" s="191"/>
      <c r="C133" s="191"/>
      <c r="D133" s="191"/>
      <c r="E133" s="191"/>
      <c r="F133" s="192"/>
      <c r="G133" s="195" t="s">
        <v>75</v>
      </c>
      <c r="H133" s="196"/>
      <c r="I133" s="196"/>
      <c r="J133" s="196"/>
      <c r="K133" s="196"/>
      <c r="L133" s="196"/>
      <c r="M133" s="196"/>
      <c r="N133" s="196"/>
      <c r="O133" s="196"/>
      <c r="P133" s="196"/>
      <c r="Q133" s="196"/>
      <c r="R133" s="60">
        <f>SUM(S133:V133)</f>
        <v>6000</v>
      </c>
      <c r="S133" s="130">
        <v>3000</v>
      </c>
      <c r="T133" s="33">
        <v>0</v>
      </c>
      <c r="U133" s="33">
        <v>0</v>
      </c>
      <c r="V133" s="109">
        <v>3000</v>
      </c>
      <c r="W133" s="60">
        <v>6000</v>
      </c>
      <c r="X133" s="109">
        <v>6000</v>
      </c>
      <c r="Y133" s="29">
        <f>SUM(S133:X133)</f>
        <v>18000</v>
      </c>
    </row>
    <row r="134" spans="1:25" s="3" customFormat="1" ht="16.5" customHeight="1">
      <c r="A134" s="185" t="s">
        <v>209</v>
      </c>
      <c r="B134" s="186"/>
      <c r="C134" s="186"/>
      <c r="D134" s="186"/>
      <c r="E134" s="186"/>
      <c r="F134" s="187"/>
      <c r="G134" s="188" t="s">
        <v>56</v>
      </c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58">
        <f aca="true" t="shared" si="29" ref="R134:X134">R135</f>
        <v>384490</v>
      </c>
      <c r="S134" s="129">
        <f t="shared" si="29"/>
        <v>81245</v>
      </c>
      <c r="T134" s="31">
        <f t="shared" si="29"/>
        <v>286745</v>
      </c>
      <c r="U134" s="31">
        <f t="shared" si="29"/>
        <v>11500</v>
      </c>
      <c r="V134" s="108">
        <f t="shared" si="29"/>
        <v>5000</v>
      </c>
      <c r="W134" s="58">
        <f t="shared" si="29"/>
        <v>220350</v>
      </c>
      <c r="X134" s="108">
        <f t="shared" si="29"/>
        <v>221040</v>
      </c>
      <c r="Y134" s="29">
        <f>SUM(S134:V134)</f>
        <v>384490</v>
      </c>
    </row>
    <row r="135" spans="1:25" ht="15" customHeight="1">
      <c r="A135" s="190" t="s">
        <v>210</v>
      </c>
      <c r="B135" s="191"/>
      <c r="C135" s="191"/>
      <c r="D135" s="191"/>
      <c r="E135" s="191"/>
      <c r="F135" s="192"/>
      <c r="G135" s="193" t="s">
        <v>32</v>
      </c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59">
        <f>СБР!R145</f>
        <v>384490</v>
      </c>
      <c r="S135" s="118">
        <f>СБР!S145</f>
        <v>81245</v>
      </c>
      <c r="T135" s="32">
        <f>СБР!T145</f>
        <v>286745</v>
      </c>
      <c r="U135" s="32">
        <f>СБР!U145</f>
        <v>11500</v>
      </c>
      <c r="V135" s="56">
        <f>СБР!V145</f>
        <v>5000</v>
      </c>
      <c r="W135" s="59">
        <f>СБР!W145</f>
        <v>220350</v>
      </c>
      <c r="X135" s="59">
        <f>СБР!X145</f>
        <v>221040</v>
      </c>
      <c r="Y135" s="29">
        <f>SUM(S135:V135)</f>
        <v>384490</v>
      </c>
    </row>
    <row r="136" spans="1:25" ht="16.5" customHeight="1" hidden="1">
      <c r="A136" s="190" t="s">
        <v>211</v>
      </c>
      <c r="B136" s="191"/>
      <c r="C136" s="191"/>
      <c r="D136" s="191"/>
      <c r="E136" s="191"/>
      <c r="F136" s="192"/>
      <c r="G136" s="193" t="s">
        <v>39</v>
      </c>
      <c r="H136" s="194"/>
      <c r="I136" s="194"/>
      <c r="J136" s="194"/>
      <c r="K136" s="194"/>
      <c r="L136" s="194"/>
      <c r="M136" s="194"/>
      <c r="N136" s="194"/>
      <c r="O136" s="194"/>
      <c r="P136" s="194"/>
      <c r="Q136" s="194"/>
      <c r="R136" s="60">
        <f aca="true" t="shared" si="30" ref="R136:R141">SUM(S136:V136)</f>
        <v>0</v>
      </c>
      <c r="S136" s="130">
        <v>0</v>
      </c>
      <c r="T136" s="33">
        <v>0</v>
      </c>
      <c r="U136" s="33">
        <v>0</v>
      </c>
      <c r="V136" s="109">
        <v>0</v>
      </c>
      <c r="W136" s="60">
        <v>0</v>
      </c>
      <c r="X136" s="109">
        <v>0</v>
      </c>
      <c r="Y136" s="29">
        <f aca="true" t="shared" si="31" ref="Y136:Y141">SUM(S136:X136)</f>
        <v>0</v>
      </c>
    </row>
    <row r="137" spans="1:25" ht="16.5" customHeight="1" hidden="1">
      <c r="A137" s="190" t="s">
        <v>212</v>
      </c>
      <c r="B137" s="191"/>
      <c r="C137" s="191"/>
      <c r="D137" s="191"/>
      <c r="E137" s="191"/>
      <c r="F137" s="192"/>
      <c r="G137" s="193" t="s">
        <v>40</v>
      </c>
      <c r="H137" s="194"/>
      <c r="I137" s="194"/>
      <c r="J137" s="194"/>
      <c r="K137" s="194"/>
      <c r="L137" s="194"/>
      <c r="M137" s="194"/>
      <c r="N137" s="194"/>
      <c r="O137" s="194"/>
      <c r="P137" s="194"/>
      <c r="Q137" s="194"/>
      <c r="R137" s="60">
        <f t="shared" si="30"/>
        <v>0</v>
      </c>
      <c r="S137" s="130">
        <v>0</v>
      </c>
      <c r="T137" s="33">
        <v>0</v>
      </c>
      <c r="U137" s="33">
        <v>0</v>
      </c>
      <c r="V137" s="109">
        <v>0</v>
      </c>
      <c r="W137" s="60">
        <v>0</v>
      </c>
      <c r="X137" s="109">
        <v>0</v>
      </c>
      <c r="Y137" s="29">
        <f t="shared" si="31"/>
        <v>0</v>
      </c>
    </row>
    <row r="138" spans="1:25" ht="16.5" customHeight="1" hidden="1">
      <c r="A138" s="190" t="s">
        <v>213</v>
      </c>
      <c r="B138" s="191"/>
      <c r="C138" s="191"/>
      <c r="D138" s="191"/>
      <c r="E138" s="191"/>
      <c r="F138" s="192"/>
      <c r="G138" s="193" t="s">
        <v>41</v>
      </c>
      <c r="H138" s="194"/>
      <c r="I138" s="194"/>
      <c r="J138" s="194"/>
      <c r="K138" s="194"/>
      <c r="L138" s="194"/>
      <c r="M138" s="194"/>
      <c r="N138" s="194"/>
      <c r="O138" s="194"/>
      <c r="P138" s="194"/>
      <c r="Q138" s="194"/>
      <c r="R138" s="60">
        <f t="shared" si="30"/>
        <v>174490</v>
      </c>
      <c r="S138" s="130">
        <v>87245</v>
      </c>
      <c r="T138" s="33">
        <v>87245</v>
      </c>
      <c r="U138" s="33">
        <v>0</v>
      </c>
      <c r="V138" s="109">
        <v>0</v>
      </c>
      <c r="W138" s="60">
        <v>180350</v>
      </c>
      <c r="X138" s="109">
        <v>181040</v>
      </c>
      <c r="Y138" s="29">
        <f t="shared" si="31"/>
        <v>535880</v>
      </c>
    </row>
    <row r="139" spans="1:25" ht="16.5" customHeight="1" hidden="1">
      <c r="A139" s="190" t="s">
        <v>214</v>
      </c>
      <c r="B139" s="191"/>
      <c r="C139" s="191"/>
      <c r="D139" s="191"/>
      <c r="E139" s="191"/>
      <c r="F139" s="192"/>
      <c r="G139" s="193" t="s">
        <v>42</v>
      </c>
      <c r="H139" s="194"/>
      <c r="I139" s="194"/>
      <c r="J139" s="194"/>
      <c r="K139" s="194"/>
      <c r="L139" s="194"/>
      <c r="M139" s="194"/>
      <c r="N139" s="194"/>
      <c r="O139" s="194"/>
      <c r="P139" s="194"/>
      <c r="Q139" s="194"/>
      <c r="R139" s="60">
        <f t="shared" si="30"/>
        <v>0</v>
      </c>
      <c r="S139" s="130">
        <v>0</v>
      </c>
      <c r="T139" s="33">
        <v>0</v>
      </c>
      <c r="U139" s="33">
        <f>37081.43-55726.03+18644.6</f>
        <v>0</v>
      </c>
      <c r="V139" s="109">
        <v>0</v>
      </c>
      <c r="W139" s="60">
        <v>0</v>
      </c>
      <c r="X139" s="109">
        <v>0</v>
      </c>
      <c r="Y139" s="29">
        <f t="shared" si="31"/>
        <v>0</v>
      </c>
    </row>
    <row r="140" spans="1:25" ht="16.5" customHeight="1" hidden="1">
      <c r="A140" s="190" t="s">
        <v>215</v>
      </c>
      <c r="B140" s="191"/>
      <c r="C140" s="191"/>
      <c r="D140" s="191"/>
      <c r="E140" s="191"/>
      <c r="F140" s="192"/>
      <c r="G140" s="193" t="s">
        <v>43</v>
      </c>
      <c r="H140" s="194"/>
      <c r="I140" s="194"/>
      <c r="J140" s="194"/>
      <c r="K140" s="194"/>
      <c r="L140" s="194"/>
      <c r="M140" s="194"/>
      <c r="N140" s="194"/>
      <c r="O140" s="194"/>
      <c r="P140" s="194"/>
      <c r="Q140" s="194"/>
      <c r="R140" s="60">
        <f t="shared" si="30"/>
        <v>0</v>
      </c>
      <c r="S140" s="130">
        <v>0</v>
      </c>
      <c r="T140" s="33">
        <v>0</v>
      </c>
      <c r="U140" s="33">
        <v>0</v>
      </c>
      <c r="V140" s="109">
        <v>0</v>
      </c>
      <c r="W140" s="60">
        <v>0</v>
      </c>
      <c r="X140" s="109">
        <v>0</v>
      </c>
      <c r="Y140" s="29">
        <f t="shared" si="31"/>
        <v>0</v>
      </c>
    </row>
    <row r="141" spans="1:25" ht="16.5" customHeight="1" hidden="1">
      <c r="A141" s="190" t="s">
        <v>216</v>
      </c>
      <c r="B141" s="191"/>
      <c r="C141" s="191"/>
      <c r="D141" s="191"/>
      <c r="E141" s="191"/>
      <c r="F141" s="192"/>
      <c r="G141" s="195" t="s">
        <v>75</v>
      </c>
      <c r="H141" s="196"/>
      <c r="I141" s="196"/>
      <c r="J141" s="196"/>
      <c r="K141" s="196"/>
      <c r="L141" s="196"/>
      <c r="M141" s="196"/>
      <c r="N141" s="196"/>
      <c r="O141" s="196"/>
      <c r="P141" s="196"/>
      <c r="Q141" s="196"/>
      <c r="R141" s="60">
        <f t="shared" si="30"/>
        <v>40000</v>
      </c>
      <c r="S141" s="130">
        <v>10000</v>
      </c>
      <c r="T141" s="33">
        <v>10000</v>
      </c>
      <c r="U141" s="33">
        <v>10000</v>
      </c>
      <c r="V141" s="109">
        <v>10000</v>
      </c>
      <c r="W141" s="60">
        <v>40000</v>
      </c>
      <c r="X141" s="109">
        <v>40000</v>
      </c>
      <c r="Y141" s="29">
        <f t="shared" si="31"/>
        <v>120000</v>
      </c>
    </row>
    <row r="142" spans="1:25" s="4" customFormat="1" ht="16.5" customHeight="1" hidden="1">
      <c r="A142" s="147" t="s">
        <v>217</v>
      </c>
      <c r="B142" s="148"/>
      <c r="C142" s="148"/>
      <c r="D142" s="148"/>
      <c r="E142" s="148"/>
      <c r="F142" s="178"/>
      <c r="G142" s="218" t="s">
        <v>74</v>
      </c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38">
        <f>R143</f>
        <v>0</v>
      </c>
      <c r="S142" s="131">
        <f aca="true" t="shared" si="32" ref="S142:X143">S143</f>
        <v>0</v>
      </c>
      <c r="T142" s="30">
        <f t="shared" si="32"/>
        <v>0</v>
      </c>
      <c r="U142" s="30">
        <f t="shared" si="32"/>
        <v>0</v>
      </c>
      <c r="V142" s="55">
        <f t="shared" si="32"/>
        <v>0</v>
      </c>
      <c r="W142" s="38">
        <f t="shared" si="32"/>
        <v>0</v>
      </c>
      <c r="X142" s="55">
        <f t="shared" si="32"/>
        <v>0</v>
      </c>
      <c r="Y142" s="29">
        <f aca="true" t="shared" si="33" ref="Y142:Y147">SUM(S142:V142)</f>
        <v>0</v>
      </c>
    </row>
    <row r="143" spans="1:25" s="3" customFormat="1" ht="16.5" customHeight="1" hidden="1">
      <c r="A143" s="185" t="s">
        <v>218</v>
      </c>
      <c r="B143" s="186"/>
      <c r="C143" s="186"/>
      <c r="D143" s="186"/>
      <c r="E143" s="186"/>
      <c r="F143" s="187"/>
      <c r="G143" s="199" t="s">
        <v>107</v>
      </c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58">
        <f>R144</f>
        <v>0</v>
      </c>
      <c r="S143" s="129">
        <f t="shared" si="32"/>
        <v>0</v>
      </c>
      <c r="T143" s="31">
        <f t="shared" si="32"/>
        <v>0</v>
      </c>
      <c r="U143" s="31">
        <f t="shared" si="32"/>
        <v>0</v>
      </c>
      <c r="V143" s="108">
        <f t="shared" si="32"/>
        <v>0</v>
      </c>
      <c r="W143" s="58">
        <f t="shared" si="32"/>
        <v>0</v>
      </c>
      <c r="X143" s="108">
        <f t="shared" si="32"/>
        <v>0</v>
      </c>
      <c r="Y143" s="29">
        <f t="shared" si="33"/>
        <v>0</v>
      </c>
    </row>
    <row r="144" spans="1:25" ht="16.5" customHeight="1" hidden="1">
      <c r="A144" s="190" t="s">
        <v>219</v>
      </c>
      <c r="B144" s="191"/>
      <c r="C144" s="191"/>
      <c r="D144" s="191"/>
      <c r="E144" s="191"/>
      <c r="F144" s="192"/>
      <c r="G144" s="195" t="s">
        <v>32</v>
      </c>
      <c r="H144" s="196"/>
      <c r="I144" s="196"/>
      <c r="J144" s="196"/>
      <c r="K144" s="196"/>
      <c r="L144" s="196"/>
      <c r="M144" s="196"/>
      <c r="N144" s="196"/>
      <c r="O144" s="196"/>
      <c r="P144" s="196"/>
      <c r="Q144" s="196"/>
      <c r="R144" s="59">
        <f aca="true" t="shared" si="34" ref="R144:X144">R145+R146</f>
        <v>0</v>
      </c>
      <c r="S144" s="118">
        <f t="shared" si="34"/>
        <v>0</v>
      </c>
      <c r="T144" s="32">
        <f t="shared" si="34"/>
        <v>0</v>
      </c>
      <c r="U144" s="32">
        <f t="shared" si="34"/>
        <v>0</v>
      </c>
      <c r="V144" s="56">
        <f t="shared" si="34"/>
        <v>0</v>
      </c>
      <c r="W144" s="59">
        <f t="shared" si="34"/>
        <v>0</v>
      </c>
      <c r="X144" s="56">
        <f t="shared" si="34"/>
        <v>0</v>
      </c>
      <c r="Y144" s="29">
        <f t="shared" si="33"/>
        <v>0</v>
      </c>
    </row>
    <row r="145" spans="1:25" ht="16.5" customHeight="1" hidden="1">
      <c r="A145" s="190" t="s">
        <v>220</v>
      </c>
      <c r="B145" s="191"/>
      <c r="C145" s="191"/>
      <c r="D145" s="191"/>
      <c r="E145" s="191"/>
      <c r="F145" s="192"/>
      <c r="G145" s="195" t="s">
        <v>46</v>
      </c>
      <c r="H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60">
        <f>SUM(S145:V145)</f>
        <v>0</v>
      </c>
      <c r="S145" s="130">
        <v>0</v>
      </c>
      <c r="T145" s="33">
        <v>0</v>
      </c>
      <c r="U145" s="33">
        <v>0</v>
      </c>
      <c r="V145" s="109">
        <v>0</v>
      </c>
      <c r="W145" s="60">
        <v>0</v>
      </c>
      <c r="X145" s="109">
        <v>0</v>
      </c>
      <c r="Y145" s="29">
        <f>SUM(S145:X145)</f>
        <v>0</v>
      </c>
    </row>
    <row r="146" spans="1:25" ht="16.5" customHeight="1" hidden="1">
      <c r="A146" s="190" t="s">
        <v>221</v>
      </c>
      <c r="B146" s="191"/>
      <c r="C146" s="191"/>
      <c r="D146" s="191"/>
      <c r="E146" s="191"/>
      <c r="F146" s="192"/>
      <c r="G146" s="195" t="s">
        <v>75</v>
      </c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60">
        <f>SUM(S146:V146)</f>
        <v>0</v>
      </c>
      <c r="S146" s="130">
        <v>0</v>
      </c>
      <c r="T146" s="33">
        <v>0</v>
      </c>
      <c r="U146" s="33">
        <v>0</v>
      </c>
      <c r="V146" s="109">
        <v>0</v>
      </c>
      <c r="W146" s="60">
        <v>0</v>
      </c>
      <c r="X146" s="109">
        <v>0</v>
      </c>
      <c r="Y146" s="29">
        <f>SUM(S146:X146)</f>
        <v>0</v>
      </c>
    </row>
    <row r="147" spans="1:25" s="4" customFormat="1" ht="16.5" customHeight="1">
      <c r="A147" s="147" t="s">
        <v>222</v>
      </c>
      <c r="B147" s="148"/>
      <c r="C147" s="148"/>
      <c r="D147" s="148"/>
      <c r="E147" s="148"/>
      <c r="F147" s="178"/>
      <c r="G147" s="179" t="s">
        <v>57</v>
      </c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38">
        <f aca="true" t="shared" si="35" ref="R147:X147">R149+R165</f>
        <v>4314916</v>
      </c>
      <c r="S147" s="131">
        <f t="shared" si="35"/>
        <v>1196365</v>
      </c>
      <c r="T147" s="30">
        <f t="shared" si="35"/>
        <v>1505503.33</v>
      </c>
      <c r="U147" s="30">
        <f t="shared" si="35"/>
        <v>1183501.67</v>
      </c>
      <c r="V147" s="55">
        <f t="shared" si="35"/>
        <v>299546</v>
      </c>
      <c r="W147" s="38">
        <f t="shared" si="35"/>
        <v>3148160</v>
      </c>
      <c r="X147" s="55">
        <f t="shared" si="35"/>
        <v>3158120</v>
      </c>
      <c r="Y147" s="29">
        <f t="shared" si="33"/>
        <v>4184916</v>
      </c>
    </row>
    <row r="148" spans="1:25" s="51" customFormat="1" ht="21.75" customHeight="1">
      <c r="A148" s="181" t="s">
        <v>223</v>
      </c>
      <c r="B148" s="182"/>
      <c r="C148" s="182"/>
      <c r="D148" s="182"/>
      <c r="E148" s="182"/>
      <c r="F148" s="49"/>
      <c r="G148" s="183" t="s">
        <v>95</v>
      </c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57">
        <f>R149</f>
        <v>4109916</v>
      </c>
      <c r="S148" s="128">
        <f aca="true" t="shared" si="36" ref="S148:X148">S149</f>
        <v>1186365</v>
      </c>
      <c r="T148" s="53">
        <f t="shared" si="36"/>
        <v>1485503.33</v>
      </c>
      <c r="U148" s="53">
        <f t="shared" si="36"/>
        <v>1178501.67</v>
      </c>
      <c r="V148" s="107">
        <f t="shared" si="36"/>
        <v>259546</v>
      </c>
      <c r="W148" s="57">
        <f t="shared" si="36"/>
        <v>3071120</v>
      </c>
      <c r="X148" s="107">
        <f t="shared" si="36"/>
        <v>3080830</v>
      </c>
      <c r="Y148" s="50"/>
    </row>
    <row r="149" spans="1:25" s="3" customFormat="1" ht="16.5" customHeight="1">
      <c r="A149" s="185" t="s">
        <v>224</v>
      </c>
      <c r="B149" s="186"/>
      <c r="C149" s="186"/>
      <c r="D149" s="186"/>
      <c r="E149" s="186"/>
      <c r="F149" s="187"/>
      <c r="G149" s="188" t="s">
        <v>58</v>
      </c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58">
        <f aca="true" t="shared" si="37" ref="R149:X149">R150</f>
        <v>4109916</v>
      </c>
      <c r="S149" s="129">
        <f t="shared" si="37"/>
        <v>1186365</v>
      </c>
      <c r="T149" s="31">
        <f t="shared" si="37"/>
        <v>1485503.33</v>
      </c>
      <c r="U149" s="31">
        <f t="shared" si="37"/>
        <v>1178501.67</v>
      </c>
      <c r="V149" s="108">
        <f t="shared" si="37"/>
        <v>259546</v>
      </c>
      <c r="W149" s="58">
        <f t="shared" si="37"/>
        <v>3071120</v>
      </c>
      <c r="X149" s="108">
        <f t="shared" si="37"/>
        <v>3080830</v>
      </c>
      <c r="Y149" s="29">
        <f>SUM(S149:V149)</f>
        <v>4109916</v>
      </c>
    </row>
    <row r="150" spans="1:25" ht="15" customHeight="1">
      <c r="A150" s="190" t="s">
        <v>225</v>
      </c>
      <c r="B150" s="191"/>
      <c r="C150" s="191"/>
      <c r="D150" s="191"/>
      <c r="E150" s="191"/>
      <c r="F150" s="192"/>
      <c r="G150" s="193" t="s">
        <v>59</v>
      </c>
      <c r="H150" s="194"/>
      <c r="I150" s="194"/>
      <c r="J150" s="194"/>
      <c r="K150" s="194"/>
      <c r="L150" s="194"/>
      <c r="M150" s="194"/>
      <c r="N150" s="194"/>
      <c r="O150" s="194"/>
      <c r="P150" s="194"/>
      <c r="Q150" s="194"/>
      <c r="R150" s="59">
        <f>СБР!R160</f>
        <v>4109916</v>
      </c>
      <c r="S150" s="118">
        <f>СБР!S160</f>
        <v>1186365</v>
      </c>
      <c r="T150" s="32">
        <f>СБР!T160</f>
        <v>1485503.33</v>
      </c>
      <c r="U150" s="32">
        <f>СБР!U160</f>
        <v>1178501.67</v>
      </c>
      <c r="V150" s="56">
        <f>СБР!V160</f>
        <v>259546</v>
      </c>
      <c r="W150" s="59">
        <f>СБР!W160</f>
        <v>3071120</v>
      </c>
      <c r="X150" s="59">
        <f>СБР!X160</f>
        <v>3080830</v>
      </c>
      <c r="Y150" s="29">
        <f aca="true" t="shared" si="38" ref="Y150:Y196">SUM(S150:V150)</f>
        <v>4109916</v>
      </c>
    </row>
    <row r="151" spans="1:25" ht="16.5" customHeight="1" hidden="1">
      <c r="A151" s="190" t="s">
        <v>226</v>
      </c>
      <c r="B151" s="191"/>
      <c r="C151" s="191"/>
      <c r="D151" s="191"/>
      <c r="E151" s="191"/>
      <c r="F151" s="192"/>
      <c r="G151" s="193" t="s">
        <v>33</v>
      </c>
      <c r="H151" s="194"/>
      <c r="I151" s="194"/>
      <c r="J151" s="194"/>
      <c r="K151" s="194"/>
      <c r="L151" s="194"/>
      <c r="M151" s="194"/>
      <c r="N151" s="194"/>
      <c r="O151" s="194"/>
      <c r="P151" s="194"/>
      <c r="Q151" s="194"/>
      <c r="R151" s="60">
        <f aca="true" t="shared" si="39" ref="R151:R163">SUM(S151:V151)</f>
        <v>2240000</v>
      </c>
      <c r="S151" s="130">
        <v>738000</v>
      </c>
      <c r="T151" s="33">
        <v>738000</v>
      </c>
      <c r="U151" s="33">
        <v>764000</v>
      </c>
      <c r="V151" s="109">
        <v>0</v>
      </c>
      <c r="W151" s="60">
        <v>1840000</v>
      </c>
      <c r="X151" s="109">
        <v>1845000</v>
      </c>
      <c r="Y151" s="29">
        <f t="shared" si="38"/>
        <v>2240000</v>
      </c>
    </row>
    <row r="152" spans="1:25" ht="16.5" customHeight="1" hidden="1">
      <c r="A152" s="190" t="s">
        <v>227</v>
      </c>
      <c r="B152" s="191"/>
      <c r="C152" s="191"/>
      <c r="D152" s="191"/>
      <c r="E152" s="191"/>
      <c r="F152" s="192"/>
      <c r="G152" s="193" t="s">
        <v>37</v>
      </c>
      <c r="H152" s="194"/>
      <c r="I152" s="194"/>
      <c r="J152" s="194"/>
      <c r="K152" s="194"/>
      <c r="L152" s="194"/>
      <c r="M152" s="194"/>
      <c r="N152" s="194"/>
      <c r="O152" s="194"/>
      <c r="P152" s="194"/>
      <c r="Q152" s="194"/>
      <c r="R152" s="60">
        <f t="shared" si="39"/>
        <v>0</v>
      </c>
      <c r="S152" s="130">
        <v>0</v>
      </c>
      <c r="T152" s="33">
        <v>0</v>
      </c>
      <c r="U152" s="33">
        <v>0</v>
      </c>
      <c r="V152" s="109">
        <v>0</v>
      </c>
      <c r="W152" s="60"/>
      <c r="X152" s="109"/>
      <c r="Y152" s="29">
        <f t="shared" si="38"/>
        <v>0</v>
      </c>
    </row>
    <row r="153" spans="1:25" ht="16.5" customHeight="1" hidden="1">
      <c r="A153" s="190" t="s">
        <v>228</v>
      </c>
      <c r="B153" s="191"/>
      <c r="C153" s="191"/>
      <c r="D153" s="191"/>
      <c r="E153" s="191"/>
      <c r="F153" s="192"/>
      <c r="G153" s="193" t="s">
        <v>34</v>
      </c>
      <c r="H153" s="194"/>
      <c r="I153" s="194"/>
      <c r="J153" s="194"/>
      <c r="K153" s="194"/>
      <c r="L153" s="194"/>
      <c r="M153" s="194"/>
      <c r="N153" s="194"/>
      <c r="O153" s="194"/>
      <c r="P153" s="194"/>
      <c r="Q153" s="194"/>
      <c r="R153" s="60">
        <f t="shared" si="39"/>
        <v>771370</v>
      </c>
      <c r="S153" s="130">
        <v>253000</v>
      </c>
      <c r="T153" s="33">
        <v>253000</v>
      </c>
      <c r="U153" s="33">
        <v>265370</v>
      </c>
      <c r="V153" s="109">
        <v>0</v>
      </c>
      <c r="W153" s="60">
        <v>635920</v>
      </c>
      <c r="X153" s="109">
        <v>640630</v>
      </c>
      <c r="Y153" s="29">
        <f t="shared" si="38"/>
        <v>771370</v>
      </c>
    </row>
    <row r="154" spans="1:25" ht="16.5" customHeight="1" hidden="1">
      <c r="A154" s="190" t="s">
        <v>229</v>
      </c>
      <c r="B154" s="191"/>
      <c r="C154" s="191"/>
      <c r="D154" s="191"/>
      <c r="E154" s="191"/>
      <c r="F154" s="192"/>
      <c r="G154" s="193" t="s">
        <v>38</v>
      </c>
      <c r="H154" s="194"/>
      <c r="I154" s="194"/>
      <c r="J154" s="194"/>
      <c r="K154" s="194"/>
      <c r="L154" s="194"/>
      <c r="M154" s="194"/>
      <c r="N154" s="194"/>
      <c r="O154" s="194"/>
      <c r="P154" s="194"/>
      <c r="Q154" s="194"/>
      <c r="R154" s="60">
        <f t="shared" si="39"/>
        <v>0</v>
      </c>
      <c r="S154" s="130">
        <v>0</v>
      </c>
      <c r="T154" s="33">
        <v>0</v>
      </c>
      <c r="U154" s="33">
        <v>0</v>
      </c>
      <c r="V154" s="109">
        <v>0</v>
      </c>
      <c r="W154" s="60">
        <v>0</v>
      </c>
      <c r="X154" s="109">
        <v>0</v>
      </c>
      <c r="Y154" s="29">
        <f t="shared" si="38"/>
        <v>0</v>
      </c>
    </row>
    <row r="155" spans="1:25" ht="16.5" customHeight="1" hidden="1">
      <c r="A155" s="190" t="s">
        <v>230</v>
      </c>
      <c r="B155" s="191"/>
      <c r="C155" s="191"/>
      <c r="D155" s="191"/>
      <c r="E155" s="191"/>
      <c r="F155" s="192"/>
      <c r="G155" s="193" t="s">
        <v>39</v>
      </c>
      <c r="H155" s="194"/>
      <c r="I155" s="194"/>
      <c r="J155" s="194"/>
      <c r="K155" s="194"/>
      <c r="L155" s="194"/>
      <c r="M155" s="194"/>
      <c r="N155" s="194"/>
      <c r="O155" s="194"/>
      <c r="P155" s="194"/>
      <c r="Q155" s="194"/>
      <c r="R155" s="60">
        <f t="shared" si="39"/>
        <v>0</v>
      </c>
      <c r="S155" s="130">
        <v>0</v>
      </c>
      <c r="T155" s="33">
        <v>0</v>
      </c>
      <c r="U155" s="33">
        <v>0</v>
      </c>
      <c r="V155" s="109">
        <v>0</v>
      </c>
      <c r="W155" s="60">
        <v>0</v>
      </c>
      <c r="X155" s="109">
        <v>0</v>
      </c>
      <c r="Y155" s="29">
        <f>SUM(S155:X155)</f>
        <v>0</v>
      </c>
    </row>
    <row r="156" spans="1:25" ht="16.5" customHeight="1" hidden="1">
      <c r="A156" s="190" t="s">
        <v>231</v>
      </c>
      <c r="B156" s="191"/>
      <c r="C156" s="191"/>
      <c r="D156" s="191"/>
      <c r="E156" s="191"/>
      <c r="F156" s="192"/>
      <c r="G156" s="193" t="s">
        <v>40</v>
      </c>
      <c r="H156" s="194"/>
      <c r="I156" s="194"/>
      <c r="J156" s="194"/>
      <c r="K156" s="194"/>
      <c r="L156" s="194"/>
      <c r="M156" s="194"/>
      <c r="N156" s="194"/>
      <c r="O156" s="194"/>
      <c r="P156" s="194"/>
      <c r="Q156" s="194"/>
      <c r="R156" s="60">
        <f t="shared" si="39"/>
        <v>400000</v>
      </c>
      <c r="S156" s="130">
        <v>130000</v>
      </c>
      <c r="T156" s="33">
        <v>140000</v>
      </c>
      <c r="U156" s="33">
        <v>30000</v>
      </c>
      <c r="V156" s="109">
        <v>100000</v>
      </c>
      <c r="W156" s="60">
        <v>400000</v>
      </c>
      <c r="X156" s="109">
        <v>400000</v>
      </c>
      <c r="Y156" s="29">
        <f t="shared" si="38"/>
        <v>400000</v>
      </c>
    </row>
    <row r="157" spans="1:25" ht="16.5" customHeight="1" hidden="1">
      <c r="A157" s="190" t="s">
        <v>232</v>
      </c>
      <c r="B157" s="191"/>
      <c r="C157" s="191"/>
      <c r="D157" s="191"/>
      <c r="E157" s="191"/>
      <c r="F157" s="192"/>
      <c r="G157" s="193" t="s">
        <v>41</v>
      </c>
      <c r="H157" s="194"/>
      <c r="I157" s="194"/>
      <c r="J157" s="194"/>
      <c r="K157" s="194"/>
      <c r="L157" s="194"/>
      <c r="M157" s="194"/>
      <c r="N157" s="194"/>
      <c r="O157" s="194"/>
      <c r="P157" s="194"/>
      <c r="Q157" s="194"/>
      <c r="R157" s="60">
        <f t="shared" si="39"/>
        <v>45200</v>
      </c>
      <c r="S157" s="130">
        <v>11000</v>
      </c>
      <c r="T157" s="33">
        <v>11000</v>
      </c>
      <c r="U157" s="33">
        <v>11000</v>
      </c>
      <c r="V157" s="109">
        <v>12200</v>
      </c>
      <c r="W157" s="60">
        <v>45200</v>
      </c>
      <c r="X157" s="109">
        <v>45200</v>
      </c>
      <c r="Y157" s="29">
        <f>SUM(S157:X157)</f>
        <v>135600</v>
      </c>
    </row>
    <row r="158" spans="1:25" ht="16.5" customHeight="1" hidden="1">
      <c r="A158" s="190" t="s">
        <v>233</v>
      </c>
      <c r="B158" s="191"/>
      <c r="C158" s="191"/>
      <c r="D158" s="191"/>
      <c r="E158" s="191"/>
      <c r="F158" s="192"/>
      <c r="G158" s="193" t="s">
        <v>42</v>
      </c>
      <c r="H158" s="194"/>
      <c r="I158" s="194"/>
      <c r="J158" s="194"/>
      <c r="K158" s="194"/>
      <c r="L158" s="194"/>
      <c r="M158" s="194"/>
      <c r="N158" s="194"/>
      <c r="O158" s="194"/>
      <c r="P158" s="194"/>
      <c r="Q158" s="194"/>
      <c r="R158" s="60">
        <f t="shared" si="39"/>
        <v>30000</v>
      </c>
      <c r="S158" s="130">
        <v>10000</v>
      </c>
      <c r="T158" s="33">
        <v>8000</v>
      </c>
      <c r="U158" s="33">
        <v>4000</v>
      </c>
      <c r="V158" s="109">
        <v>8000</v>
      </c>
      <c r="W158" s="60">
        <v>30000</v>
      </c>
      <c r="X158" s="109">
        <v>30000</v>
      </c>
      <c r="Y158" s="29">
        <f t="shared" si="38"/>
        <v>30000</v>
      </c>
    </row>
    <row r="159" spans="1:25" ht="16.5" customHeight="1" hidden="1">
      <c r="A159" s="190" t="s">
        <v>234</v>
      </c>
      <c r="B159" s="191"/>
      <c r="C159" s="191"/>
      <c r="D159" s="191"/>
      <c r="E159" s="191"/>
      <c r="F159" s="192"/>
      <c r="G159" s="193" t="s">
        <v>76</v>
      </c>
      <c r="H159" s="194"/>
      <c r="I159" s="194"/>
      <c r="J159" s="194"/>
      <c r="K159" s="194"/>
      <c r="L159" s="194"/>
      <c r="M159" s="194"/>
      <c r="N159" s="194"/>
      <c r="O159" s="194"/>
      <c r="P159" s="194"/>
      <c r="Q159" s="194"/>
      <c r="R159" s="60">
        <f t="shared" si="39"/>
        <v>20000</v>
      </c>
      <c r="S159" s="130">
        <v>6000</v>
      </c>
      <c r="T159" s="33">
        <v>6000</v>
      </c>
      <c r="U159" s="33">
        <v>2000</v>
      </c>
      <c r="V159" s="109">
        <v>6000</v>
      </c>
      <c r="W159" s="60">
        <v>20000</v>
      </c>
      <c r="X159" s="109">
        <v>20000</v>
      </c>
      <c r="Y159" s="29">
        <f t="shared" si="38"/>
        <v>20000</v>
      </c>
    </row>
    <row r="160" spans="1:25" ht="16.5" customHeight="1" hidden="1">
      <c r="A160" s="190" t="s">
        <v>235</v>
      </c>
      <c r="B160" s="191"/>
      <c r="C160" s="191"/>
      <c r="D160" s="191"/>
      <c r="E160" s="191"/>
      <c r="F160" s="192"/>
      <c r="G160" s="193" t="s">
        <v>43</v>
      </c>
      <c r="H160" s="194"/>
      <c r="I160" s="194"/>
      <c r="J160" s="194"/>
      <c r="K160" s="194"/>
      <c r="L160" s="194"/>
      <c r="M160" s="194"/>
      <c r="N160" s="194"/>
      <c r="O160" s="194"/>
      <c r="P160" s="194"/>
      <c r="Q160" s="194"/>
      <c r="R160" s="60">
        <f t="shared" si="39"/>
        <v>0</v>
      </c>
      <c r="S160" s="130">
        <v>0</v>
      </c>
      <c r="T160" s="33">
        <v>0</v>
      </c>
      <c r="U160" s="33">
        <v>0</v>
      </c>
      <c r="V160" s="109">
        <v>0</v>
      </c>
      <c r="W160" s="60">
        <v>0</v>
      </c>
      <c r="X160" s="109">
        <v>0</v>
      </c>
      <c r="Y160" s="29">
        <f t="shared" si="38"/>
        <v>0</v>
      </c>
    </row>
    <row r="161" spans="1:25" ht="16.5" customHeight="1" hidden="1">
      <c r="A161" s="190" t="s">
        <v>236</v>
      </c>
      <c r="B161" s="191"/>
      <c r="C161" s="191"/>
      <c r="D161" s="191"/>
      <c r="E161" s="191"/>
      <c r="F161" s="192"/>
      <c r="G161" s="193" t="s">
        <v>77</v>
      </c>
      <c r="H161" s="194"/>
      <c r="I161" s="194"/>
      <c r="J161" s="194"/>
      <c r="K161" s="194"/>
      <c r="L161" s="194"/>
      <c r="M161" s="194"/>
      <c r="N161" s="194"/>
      <c r="O161" s="194"/>
      <c r="P161" s="194"/>
      <c r="Q161" s="194"/>
      <c r="R161" s="60">
        <f t="shared" si="39"/>
        <v>0</v>
      </c>
      <c r="S161" s="130"/>
      <c r="T161" s="33"/>
      <c r="U161" s="33"/>
      <c r="V161" s="109"/>
      <c r="W161" s="60">
        <v>0</v>
      </c>
      <c r="X161" s="109">
        <v>0</v>
      </c>
      <c r="Y161" s="29">
        <f t="shared" si="38"/>
        <v>0</v>
      </c>
    </row>
    <row r="162" spans="1:25" ht="16.5" customHeight="1" hidden="1">
      <c r="A162" s="190" t="s">
        <v>285</v>
      </c>
      <c r="B162" s="191"/>
      <c r="C162" s="191"/>
      <c r="D162" s="191"/>
      <c r="E162" s="191"/>
      <c r="F162" s="192"/>
      <c r="G162" s="193" t="s">
        <v>78</v>
      </c>
      <c r="H162" s="194"/>
      <c r="I162" s="194"/>
      <c r="J162" s="194"/>
      <c r="K162" s="194"/>
      <c r="L162" s="194"/>
      <c r="M162" s="194"/>
      <c r="N162" s="194"/>
      <c r="O162" s="194"/>
      <c r="P162" s="194"/>
      <c r="Q162" s="194"/>
      <c r="R162" s="60">
        <f t="shared" si="39"/>
        <v>0</v>
      </c>
      <c r="S162" s="130"/>
      <c r="T162" s="33"/>
      <c r="U162" s="33"/>
      <c r="V162" s="109"/>
      <c r="W162" s="60"/>
      <c r="X162" s="109"/>
      <c r="Y162" s="29">
        <f t="shared" si="38"/>
        <v>0</v>
      </c>
    </row>
    <row r="163" spans="1:25" ht="16.5" customHeight="1" hidden="1">
      <c r="A163" s="190" t="s">
        <v>236</v>
      </c>
      <c r="B163" s="191"/>
      <c r="C163" s="191"/>
      <c r="D163" s="191"/>
      <c r="E163" s="191"/>
      <c r="F163" s="192"/>
      <c r="G163" s="195" t="s">
        <v>75</v>
      </c>
      <c r="H163" s="196"/>
      <c r="I163" s="196"/>
      <c r="J163" s="196"/>
      <c r="K163" s="196"/>
      <c r="L163" s="196"/>
      <c r="M163" s="196"/>
      <c r="N163" s="196"/>
      <c r="O163" s="196"/>
      <c r="P163" s="196"/>
      <c r="Q163" s="196"/>
      <c r="R163" s="60">
        <f t="shared" si="39"/>
        <v>100000</v>
      </c>
      <c r="S163" s="130">
        <v>30000</v>
      </c>
      <c r="T163" s="33">
        <v>30000</v>
      </c>
      <c r="U163" s="33">
        <v>20000</v>
      </c>
      <c r="V163" s="109">
        <v>20000</v>
      </c>
      <c r="W163" s="60">
        <v>100000</v>
      </c>
      <c r="X163" s="109">
        <v>100000</v>
      </c>
      <c r="Y163" s="29">
        <f t="shared" si="38"/>
        <v>100000</v>
      </c>
    </row>
    <row r="164" spans="1:25" s="51" customFormat="1" ht="23.25" customHeight="1">
      <c r="A164" s="181" t="s">
        <v>237</v>
      </c>
      <c r="B164" s="182"/>
      <c r="C164" s="182"/>
      <c r="D164" s="182"/>
      <c r="E164" s="182"/>
      <c r="F164" s="49"/>
      <c r="G164" s="202" t="s">
        <v>96</v>
      </c>
      <c r="H164" s="203"/>
      <c r="I164" s="203"/>
      <c r="J164" s="203"/>
      <c r="K164" s="203"/>
      <c r="L164" s="203"/>
      <c r="M164" s="203"/>
      <c r="N164" s="203"/>
      <c r="O164" s="203"/>
      <c r="P164" s="203"/>
      <c r="Q164" s="203"/>
      <c r="R164" s="57">
        <f aca="true" t="shared" si="40" ref="R164:X164">R165</f>
        <v>205000</v>
      </c>
      <c r="S164" s="128">
        <f t="shared" si="40"/>
        <v>10000</v>
      </c>
      <c r="T164" s="53">
        <f t="shared" si="40"/>
        <v>20000</v>
      </c>
      <c r="U164" s="53">
        <f t="shared" si="40"/>
        <v>5000</v>
      </c>
      <c r="V164" s="107">
        <f t="shared" si="40"/>
        <v>40000</v>
      </c>
      <c r="W164" s="57">
        <f t="shared" si="40"/>
        <v>77040</v>
      </c>
      <c r="X164" s="107">
        <f t="shared" si="40"/>
        <v>77290</v>
      </c>
      <c r="Y164" s="50"/>
    </row>
    <row r="165" spans="1:25" s="3" customFormat="1" ht="24" customHeight="1">
      <c r="A165" s="185" t="s">
        <v>238</v>
      </c>
      <c r="B165" s="186"/>
      <c r="C165" s="186"/>
      <c r="D165" s="186"/>
      <c r="E165" s="186"/>
      <c r="F165" s="187"/>
      <c r="G165" s="188" t="s">
        <v>60</v>
      </c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58">
        <f>R166</f>
        <v>205000</v>
      </c>
      <c r="S165" s="129">
        <f>S167</f>
        <v>10000</v>
      </c>
      <c r="T165" s="31">
        <f>T167</f>
        <v>20000</v>
      </c>
      <c r="U165" s="31">
        <f>U167</f>
        <v>5000</v>
      </c>
      <c r="V165" s="108">
        <f>V167</f>
        <v>40000</v>
      </c>
      <c r="W165" s="58">
        <f>W166</f>
        <v>77040</v>
      </c>
      <c r="X165" s="108">
        <f>X166</f>
        <v>77290</v>
      </c>
      <c r="Y165" s="29">
        <f t="shared" si="38"/>
        <v>75000</v>
      </c>
    </row>
    <row r="166" spans="1:25" ht="15" customHeight="1">
      <c r="A166" s="190" t="s">
        <v>239</v>
      </c>
      <c r="B166" s="191"/>
      <c r="C166" s="191"/>
      <c r="D166" s="191"/>
      <c r="E166" s="191"/>
      <c r="F166" s="192"/>
      <c r="G166" s="193" t="s">
        <v>59</v>
      </c>
      <c r="H166" s="194"/>
      <c r="I166" s="194"/>
      <c r="J166" s="194"/>
      <c r="K166" s="194"/>
      <c r="L166" s="194"/>
      <c r="M166" s="194"/>
      <c r="N166" s="194"/>
      <c r="O166" s="194"/>
      <c r="P166" s="194"/>
      <c r="Q166" s="194"/>
      <c r="R166" s="59">
        <f>СБР!R176</f>
        <v>205000</v>
      </c>
      <c r="S166" s="118">
        <f>СБР!S176</f>
        <v>10000</v>
      </c>
      <c r="T166" s="32">
        <f>СБР!T176</f>
        <v>20000</v>
      </c>
      <c r="U166" s="32">
        <f>СБР!U176</f>
        <v>135000</v>
      </c>
      <c r="V166" s="56">
        <f>СБР!V176</f>
        <v>40000</v>
      </c>
      <c r="W166" s="59">
        <f>СБР!W176</f>
        <v>77040</v>
      </c>
      <c r="X166" s="59">
        <f>СБР!X176</f>
        <v>77290</v>
      </c>
      <c r="Y166" s="29">
        <f t="shared" si="38"/>
        <v>205000</v>
      </c>
    </row>
    <row r="167" spans="1:25" ht="16.5" customHeight="1" hidden="1">
      <c r="A167" s="190" t="s">
        <v>240</v>
      </c>
      <c r="B167" s="191"/>
      <c r="C167" s="191"/>
      <c r="D167" s="191"/>
      <c r="E167" s="191"/>
      <c r="F167" s="192"/>
      <c r="G167" s="193" t="s">
        <v>76</v>
      </c>
      <c r="H167" s="194"/>
      <c r="I167" s="194"/>
      <c r="J167" s="194"/>
      <c r="K167" s="194"/>
      <c r="L167" s="194"/>
      <c r="M167" s="194"/>
      <c r="N167" s="194"/>
      <c r="O167" s="194"/>
      <c r="P167" s="194"/>
      <c r="Q167" s="194"/>
      <c r="R167" s="60">
        <f>SUM(S167:V167)</f>
        <v>75000</v>
      </c>
      <c r="S167" s="130">
        <v>10000</v>
      </c>
      <c r="T167" s="33">
        <v>20000</v>
      </c>
      <c r="U167" s="33">
        <v>5000</v>
      </c>
      <c r="V167" s="109">
        <v>40000</v>
      </c>
      <c r="W167" s="60">
        <v>77040</v>
      </c>
      <c r="X167" s="109">
        <v>77290</v>
      </c>
      <c r="Y167" s="29">
        <f>SUM(S167:X167)</f>
        <v>229330</v>
      </c>
    </row>
    <row r="168" spans="1:25" s="4" customFormat="1" ht="16.5" customHeight="1">
      <c r="A168" s="147" t="s">
        <v>253</v>
      </c>
      <c r="B168" s="148"/>
      <c r="C168" s="148"/>
      <c r="D168" s="148"/>
      <c r="E168" s="148"/>
      <c r="F168" s="178"/>
      <c r="G168" s="179" t="s">
        <v>61</v>
      </c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38">
        <f aca="true" t="shared" si="41" ref="R168:X168">R170+R185</f>
        <v>2598770</v>
      </c>
      <c r="S168" s="131">
        <f t="shared" si="41"/>
        <v>705875</v>
      </c>
      <c r="T168" s="30">
        <f t="shared" si="41"/>
        <v>864395</v>
      </c>
      <c r="U168" s="30">
        <f t="shared" si="41"/>
        <v>506000</v>
      </c>
      <c r="V168" s="55">
        <f t="shared" si="41"/>
        <v>522500</v>
      </c>
      <c r="W168" s="38">
        <f t="shared" si="41"/>
        <v>2392300</v>
      </c>
      <c r="X168" s="55">
        <f t="shared" si="41"/>
        <v>2399870</v>
      </c>
      <c r="Y168" s="29">
        <f t="shared" si="38"/>
        <v>2598770</v>
      </c>
    </row>
    <row r="169" spans="1:25" s="51" customFormat="1" ht="16.5" customHeight="1">
      <c r="A169" s="181" t="s">
        <v>254</v>
      </c>
      <c r="B169" s="182"/>
      <c r="C169" s="182"/>
      <c r="D169" s="182"/>
      <c r="E169" s="182"/>
      <c r="F169" s="49"/>
      <c r="G169" s="183" t="s">
        <v>97</v>
      </c>
      <c r="H169" s="184"/>
      <c r="I169" s="184"/>
      <c r="J169" s="184"/>
      <c r="K169" s="184"/>
      <c r="L169" s="184"/>
      <c r="M169" s="184"/>
      <c r="N169" s="184"/>
      <c r="O169" s="184"/>
      <c r="P169" s="184"/>
      <c r="Q169" s="184"/>
      <c r="R169" s="57">
        <f>R170</f>
        <v>2587270</v>
      </c>
      <c r="S169" s="128">
        <f aca="true" t="shared" si="42" ref="S169:X170">S170</f>
        <v>702875</v>
      </c>
      <c r="T169" s="53">
        <f t="shared" si="42"/>
        <v>860395</v>
      </c>
      <c r="U169" s="53">
        <f t="shared" si="42"/>
        <v>506000</v>
      </c>
      <c r="V169" s="107">
        <f t="shared" si="42"/>
        <v>518000</v>
      </c>
      <c r="W169" s="57">
        <f t="shared" si="42"/>
        <v>2380480</v>
      </c>
      <c r="X169" s="107">
        <f t="shared" si="42"/>
        <v>2388020</v>
      </c>
      <c r="Y169" s="50"/>
    </row>
    <row r="170" spans="1:25" s="3" customFormat="1" ht="16.5" customHeight="1">
      <c r="A170" s="185" t="s">
        <v>255</v>
      </c>
      <c r="B170" s="186"/>
      <c r="C170" s="186"/>
      <c r="D170" s="186"/>
      <c r="E170" s="186"/>
      <c r="F170" s="187"/>
      <c r="G170" s="188" t="s">
        <v>58</v>
      </c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58">
        <f>R171</f>
        <v>2587270</v>
      </c>
      <c r="S170" s="129">
        <f>S171</f>
        <v>702875</v>
      </c>
      <c r="T170" s="31">
        <f>T171</f>
        <v>860395</v>
      </c>
      <c r="U170" s="31">
        <f>U171</f>
        <v>506000</v>
      </c>
      <c r="V170" s="108">
        <f>V171</f>
        <v>518000</v>
      </c>
      <c r="W170" s="58">
        <f t="shared" si="42"/>
        <v>2380480</v>
      </c>
      <c r="X170" s="108">
        <f t="shared" si="42"/>
        <v>2388020</v>
      </c>
      <c r="Y170" s="29">
        <f t="shared" si="38"/>
        <v>2587270</v>
      </c>
    </row>
    <row r="171" spans="1:25" ht="14.25" customHeight="1">
      <c r="A171" s="190" t="s">
        <v>256</v>
      </c>
      <c r="B171" s="191"/>
      <c r="C171" s="191"/>
      <c r="D171" s="191"/>
      <c r="E171" s="191"/>
      <c r="F171" s="192"/>
      <c r="G171" s="193" t="s">
        <v>59</v>
      </c>
      <c r="H171" s="194"/>
      <c r="I171" s="194"/>
      <c r="J171" s="194"/>
      <c r="K171" s="194"/>
      <c r="L171" s="194"/>
      <c r="M171" s="194"/>
      <c r="N171" s="194"/>
      <c r="O171" s="194"/>
      <c r="P171" s="194"/>
      <c r="Q171" s="194"/>
      <c r="R171" s="59">
        <f>СБР!R181</f>
        <v>2587270</v>
      </c>
      <c r="S171" s="118">
        <f>СБР!S181</f>
        <v>702875</v>
      </c>
      <c r="T171" s="32">
        <f>СБР!T181</f>
        <v>860395</v>
      </c>
      <c r="U171" s="32">
        <f>СБР!U181</f>
        <v>506000</v>
      </c>
      <c r="V171" s="56">
        <f>СБР!V181</f>
        <v>518000</v>
      </c>
      <c r="W171" s="59">
        <f>СБР!W181</f>
        <v>2380480</v>
      </c>
      <c r="X171" s="59">
        <f>СБР!X181</f>
        <v>2388020</v>
      </c>
      <c r="Y171" s="29">
        <f t="shared" si="38"/>
        <v>2587270</v>
      </c>
    </row>
    <row r="172" spans="1:25" ht="16.5" customHeight="1" hidden="1">
      <c r="A172" s="190" t="s">
        <v>257</v>
      </c>
      <c r="B172" s="191"/>
      <c r="C172" s="191"/>
      <c r="D172" s="191"/>
      <c r="E172" s="191"/>
      <c r="F172" s="192"/>
      <c r="G172" s="193" t="s">
        <v>33</v>
      </c>
      <c r="H172" s="194"/>
      <c r="I172" s="194"/>
      <c r="J172" s="194"/>
      <c r="K172" s="194"/>
      <c r="L172" s="194"/>
      <c r="M172" s="194"/>
      <c r="N172" s="194"/>
      <c r="O172" s="194"/>
      <c r="P172" s="194"/>
      <c r="Q172" s="194"/>
      <c r="R172" s="60">
        <f aca="true" t="shared" si="43" ref="R172:R184">SUM(S172:V172)</f>
        <v>1540000</v>
      </c>
      <c r="S172" s="130">
        <v>361200</v>
      </c>
      <c r="T172" s="33">
        <v>512000</v>
      </c>
      <c r="U172" s="33">
        <v>343400</v>
      </c>
      <c r="V172" s="109">
        <v>323400</v>
      </c>
      <c r="W172" s="60">
        <v>1415000</v>
      </c>
      <c r="X172" s="109">
        <v>1420000</v>
      </c>
      <c r="Y172" s="29">
        <f>SUM(S172:X172)</f>
        <v>4375000</v>
      </c>
    </row>
    <row r="173" spans="1:25" ht="16.5" customHeight="1" hidden="1">
      <c r="A173" s="190" t="s">
        <v>258</v>
      </c>
      <c r="B173" s="191"/>
      <c r="C173" s="191"/>
      <c r="D173" s="191"/>
      <c r="E173" s="191"/>
      <c r="F173" s="192"/>
      <c r="G173" s="193" t="s">
        <v>37</v>
      </c>
      <c r="H173" s="194"/>
      <c r="I173" s="194"/>
      <c r="J173" s="194"/>
      <c r="K173" s="194"/>
      <c r="L173" s="194"/>
      <c r="M173" s="194"/>
      <c r="N173" s="194"/>
      <c r="O173" s="194"/>
      <c r="P173" s="194"/>
      <c r="Q173" s="194"/>
      <c r="R173" s="60">
        <f t="shared" si="43"/>
        <v>0</v>
      </c>
      <c r="S173" s="130"/>
      <c r="T173" s="33">
        <v>0</v>
      </c>
      <c r="U173" s="33"/>
      <c r="V173" s="109">
        <v>0</v>
      </c>
      <c r="W173" s="60"/>
      <c r="X173" s="109"/>
      <c r="Y173" s="29">
        <f t="shared" si="38"/>
        <v>0</v>
      </c>
    </row>
    <row r="174" spans="1:25" ht="16.5" customHeight="1" hidden="1">
      <c r="A174" s="190" t="s">
        <v>259</v>
      </c>
      <c r="B174" s="191"/>
      <c r="C174" s="191"/>
      <c r="D174" s="191"/>
      <c r="E174" s="191"/>
      <c r="F174" s="192"/>
      <c r="G174" s="193" t="s">
        <v>34</v>
      </c>
      <c r="H174" s="194"/>
      <c r="I174" s="194"/>
      <c r="J174" s="194"/>
      <c r="K174" s="194"/>
      <c r="L174" s="194"/>
      <c r="M174" s="194"/>
      <c r="N174" s="194"/>
      <c r="O174" s="194"/>
      <c r="P174" s="194"/>
      <c r="Q174" s="194"/>
      <c r="R174" s="60">
        <f t="shared" si="43"/>
        <v>546470</v>
      </c>
      <c r="S174" s="130">
        <v>172300</v>
      </c>
      <c r="T174" s="33">
        <v>152970</v>
      </c>
      <c r="U174" s="33">
        <v>110600</v>
      </c>
      <c r="V174" s="109">
        <v>110600</v>
      </c>
      <c r="W174" s="60">
        <v>494680</v>
      </c>
      <c r="X174" s="109">
        <v>497220</v>
      </c>
      <c r="Y174" s="29">
        <f>SUM(S174:X174)</f>
        <v>1538370</v>
      </c>
    </row>
    <row r="175" spans="1:25" ht="16.5" customHeight="1" hidden="1">
      <c r="A175" s="190" t="s">
        <v>260</v>
      </c>
      <c r="B175" s="191"/>
      <c r="C175" s="191"/>
      <c r="D175" s="191"/>
      <c r="E175" s="191"/>
      <c r="F175" s="192"/>
      <c r="G175" s="193" t="s">
        <v>38</v>
      </c>
      <c r="H175" s="194"/>
      <c r="I175" s="194"/>
      <c r="J175" s="194"/>
      <c r="K175" s="194"/>
      <c r="L175" s="194"/>
      <c r="M175" s="194"/>
      <c r="N175" s="194"/>
      <c r="O175" s="194"/>
      <c r="P175" s="194"/>
      <c r="Q175" s="194"/>
      <c r="R175" s="60">
        <f t="shared" si="43"/>
        <v>7300</v>
      </c>
      <c r="S175" s="130">
        <v>2000</v>
      </c>
      <c r="T175" s="33">
        <v>2000</v>
      </c>
      <c r="U175" s="33">
        <v>2000</v>
      </c>
      <c r="V175" s="109">
        <v>1300</v>
      </c>
      <c r="W175" s="60">
        <v>7300</v>
      </c>
      <c r="X175" s="109">
        <v>7300</v>
      </c>
      <c r="Y175" s="29">
        <f>SUM(S175:X175)</f>
        <v>21900</v>
      </c>
    </row>
    <row r="176" spans="1:25" ht="16.5" customHeight="1" hidden="1">
      <c r="A176" s="190" t="s">
        <v>286</v>
      </c>
      <c r="B176" s="191"/>
      <c r="C176" s="191"/>
      <c r="D176" s="191"/>
      <c r="E176" s="191"/>
      <c r="F176" s="192"/>
      <c r="G176" s="193" t="s">
        <v>39</v>
      </c>
      <c r="H176" s="194"/>
      <c r="I176" s="194"/>
      <c r="J176" s="194"/>
      <c r="K176" s="194"/>
      <c r="L176" s="194"/>
      <c r="M176" s="194"/>
      <c r="N176" s="194"/>
      <c r="O176" s="194"/>
      <c r="P176" s="194"/>
      <c r="Q176" s="194"/>
      <c r="R176" s="60">
        <f t="shared" si="43"/>
        <v>0</v>
      </c>
      <c r="S176" s="130"/>
      <c r="T176" s="33"/>
      <c r="U176" s="33"/>
      <c r="V176" s="109"/>
      <c r="W176" s="60"/>
      <c r="X176" s="109"/>
      <c r="Y176" s="29">
        <f t="shared" si="38"/>
        <v>0</v>
      </c>
    </row>
    <row r="177" spans="1:25" ht="16.5" customHeight="1" hidden="1">
      <c r="A177" s="190" t="s">
        <v>261</v>
      </c>
      <c r="B177" s="191"/>
      <c r="C177" s="191"/>
      <c r="D177" s="191"/>
      <c r="E177" s="191"/>
      <c r="F177" s="192"/>
      <c r="G177" s="193" t="s">
        <v>40</v>
      </c>
      <c r="H177" s="194"/>
      <c r="I177" s="194"/>
      <c r="J177" s="194"/>
      <c r="K177" s="194"/>
      <c r="L177" s="194"/>
      <c r="M177" s="194"/>
      <c r="N177" s="194"/>
      <c r="O177" s="194"/>
      <c r="P177" s="194"/>
      <c r="Q177" s="194"/>
      <c r="R177" s="60">
        <f t="shared" si="43"/>
        <v>410000</v>
      </c>
      <c r="S177" s="130">
        <v>150000</v>
      </c>
      <c r="T177" s="33">
        <v>150000</v>
      </c>
      <c r="U177" s="33">
        <v>40000</v>
      </c>
      <c r="V177" s="109">
        <v>70000</v>
      </c>
      <c r="W177" s="60">
        <v>410000</v>
      </c>
      <c r="X177" s="109">
        <v>410000</v>
      </c>
      <c r="Y177" s="29">
        <f>SUM(S177:X177)</f>
        <v>1230000</v>
      </c>
    </row>
    <row r="178" spans="1:25" ht="16.5" customHeight="1" hidden="1">
      <c r="A178" s="190" t="s">
        <v>262</v>
      </c>
      <c r="B178" s="191"/>
      <c r="C178" s="191"/>
      <c r="D178" s="191"/>
      <c r="E178" s="191"/>
      <c r="F178" s="192"/>
      <c r="G178" s="193" t="s">
        <v>41</v>
      </c>
      <c r="H178" s="194"/>
      <c r="I178" s="194"/>
      <c r="J178" s="194"/>
      <c r="K178" s="194"/>
      <c r="L178" s="194"/>
      <c r="M178" s="194"/>
      <c r="N178" s="194"/>
      <c r="O178" s="194"/>
      <c r="P178" s="194"/>
      <c r="Q178" s="194"/>
      <c r="R178" s="60">
        <f t="shared" si="43"/>
        <v>21000</v>
      </c>
      <c r="S178" s="130">
        <v>6000</v>
      </c>
      <c r="T178" s="33">
        <v>5000</v>
      </c>
      <c r="U178" s="33">
        <v>5000</v>
      </c>
      <c r="V178" s="109">
        <v>5000</v>
      </c>
      <c r="W178" s="60">
        <v>21000</v>
      </c>
      <c r="X178" s="109">
        <v>21000</v>
      </c>
      <c r="Y178" s="29">
        <f>SUM(S178:X178)</f>
        <v>63000</v>
      </c>
    </row>
    <row r="179" spans="1:25" ht="16.5" customHeight="1" hidden="1">
      <c r="A179" s="190" t="s">
        <v>263</v>
      </c>
      <c r="B179" s="191"/>
      <c r="C179" s="191"/>
      <c r="D179" s="191"/>
      <c r="E179" s="191"/>
      <c r="F179" s="192"/>
      <c r="G179" s="193" t="s">
        <v>42</v>
      </c>
      <c r="H179" s="194"/>
      <c r="I179" s="194"/>
      <c r="J179" s="194"/>
      <c r="K179" s="194"/>
      <c r="L179" s="194"/>
      <c r="M179" s="194"/>
      <c r="N179" s="194"/>
      <c r="O179" s="194"/>
      <c r="P179" s="194"/>
      <c r="Q179" s="194"/>
      <c r="R179" s="60">
        <f t="shared" si="43"/>
        <v>22500</v>
      </c>
      <c r="S179" s="130">
        <v>7500</v>
      </c>
      <c r="T179" s="33">
        <v>5000</v>
      </c>
      <c r="U179" s="33">
        <v>5000</v>
      </c>
      <c r="V179" s="109">
        <v>5000</v>
      </c>
      <c r="W179" s="60">
        <v>22500</v>
      </c>
      <c r="X179" s="109">
        <v>22500</v>
      </c>
      <c r="Y179" s="29">
        <f>SUM(S179:X179)</f>
        <v>67500</v>
      </c>
    </row>
    <row r="180" spans="1:25" ht="16.5" customHeight="1" hidden="1">
      <c r="A180" s="190" t="s">
        <v>287</v>
      </c>
      <c r="B180" s="191"/>
      <c r="C180" s="191"/>
      <c r="D180" s="191"/>
      <c r="E180" s="191"/>
      <c r="F180" s="192"/>
      <c r="G180" s="193" t="s">
        <v>88</v>
      </c>
      <c r="H180" s="194"/>
      <c r="I180" s="194"/>
      <c r="J180" s="194"/>
      <c r="K180" s="194"/>
      <c r="L180" s="194"/>
      <c r="M180" s="194"/>
      <c r="N180" s="194"/>
      <c r="O180" s="194"/>
      <c r="P180" s="194"/>
      <c r="Q180" s="194"/>
      <c r="R180" s="60">
        <f t="shared" si="43"/>
        <v>0</v>
      </c>
      <c r="S180" s="130"/>
      <c r="T180" s="33"/>
      <c r="U180" s="33"/>
      <c r="V180" s="109"/>
      <c r="W180" s="60"/>
      <c r="X180" s="109"/>
      <c r="Y180" s="29"/>
    </row>
    <row r="181" spans="1:25" ht="16.5" customHeight="1" hidden="1">
      <c r="A181" s="190" t="s">
        <v>264</v>
      </c>
      <c r="B181" s="191"/>
      <c r="C181" s="191"/>
      <c r="D181" s="191"/>
      <c r="E181" s="191"/>
      <c r="F181" s="192"/>
      <c r="G181" s="193" t="s">
        <v>76</v>
      </c>
      <c r="H181" s="194"/>
      <c r="I181" s="194"/>
      <c r="J181" s="194"/>
      <c r="K181" s="194"/>
      <c r="L181" s="194"/>
      <c r="M181" s="194"/>
      <c r="N181" s="194"/>
      <c r="O181" s="194"/>
      <c r="P181" s="194"/>
      <c r="Q181" s="194"/>
      <c r="R181" s="60">
        <f t="shared" si="43"/>
        <v>0</v>
      </c>
      <c r="S181" s="130">
        <v>0</v>
      </c>
      <c r="T181" s="33">
        <v>0</v>
      </c>
      <c r="U181" s="33">
        <v>0</v>
      </c>
      <c r="V181" s="109">
        <f>5000-5000</f>
        <v>0</v>
      </c>
      <c r="W181" s="60"/>
      <c r="X181" s="109"/>
      <c r="Y181" s="29">
        <f t="shared" si="38"/>
        <v>0</v>
      </c>
    </row>
    <row r="182" spans="1:25" ht="16.5" customHeight="1" hidden="1">
      <c r="A182" s="190" t="s">
        <v>265</v>
      </c>
      <c r="B182" s="191"/>
      <c r="C182" s="191"/>
      <c r="D182" s="191"/>
      <c r="E182" s="191"/>
      <c r="F182" s="192"/>
      <c r="G182" s="193" t="s">
        <v>43</v>
      </c>
      <c r="H182" s="194"/>
      <c r="I182" s="194"/>
      <c r="J182" s="194"/>
      <c r="K182" s="194"/>
      <c r="L182" s="194"/>
      <c r="M182" s="194"/>
      <c r="N182" s="194"/>
      <c r="O182" s="194"/>
      <c r="P182" s="194"/>
      <c r="Q182" s="194"/>
      <c r="R182" s="60">
        <f t="shared" si="43"/>
        <v>0</v>
      </c>
      <c r="S182" s="130"/>
      <c r="T182" s="33"/>
      <c r="U182" s="33"/>
      <c r="V182" s="109">
        <v>0</v>
      </c>
      <c r="W182" s="60"/>
      <c r="X182" s="109"/>
      <c r="Y182" s="29">
        <f t="shared" si="38"/>
        <v>0</v>
      </c>
    </row>
    <row r="183" spans="1:25" ht="16.5" customHeight="1" hidden="1">
      <c r="A183" s="190" t="s">
        <v>288</v>
      </c>
      <c r="B183" s="191"/>
      <c r="C183" s="191"/>
      <c r="D183" s="191"/>
      <c r="E183" s="191"/>
      <c r="F183" s="192"/>
      <c r="G183" s="193" t="s">
        <v>78</v>
      </c>
      <c r="H183" s="194"/>
      <c r="I183" s="194"/>
      <c r="J183" s="194"/>
      <c r="K183" s="194"/>
      <c r="L183" s="194"/>
      <c r="M183" s="194"/>
      <c r="N183" s="194"/>
      <c r="O183" s="194"/>
      <c r="P183" s="194"/>
      <c r="Q183" s="194"/>
      <c r="R183" s="60">
        <f t="shared" si="43"/>
        <v>0</v>
      </c>
      <c r="S183" s="130"/>
      <c r="T183" s="33"/>
      <c r="U183" s="33"/>
      <c r="V183" s="109"/>
      <c r="W183" s="60"/>
      <c r="X183" s="109"/>
      <c r="Y183" s="29">
        <f t="shared" si="38"/>
        <v>0</v>
      </c>
    </row>
    <row r="184" spans="1:25" ht="16.5" customHeight="1" hidden="1">
      <c r="A184" s="190" t="s">
        <v>266</v>
      </c>
      <c r="B184" s="191"/>
      <c r="C184" s="191"/>
      <c r="D184" s="191"/>
      <c r="E184" s="191"/>
      <c r="F184" s="192"/>
      <c r="G184" s="195" t="s">
        <v>75</v>
      </c>
      <c r="H184" s="196"/>
      <c r="I184" s="196"/>
      <c r="J184" s="196"/>
      <c r="K184" s="196"/>
      <c r="L184" s="196"/>
      <c r="M184" s="196"/>
      <c r="N184" s="196"/>
      <c r="O184" s="196"/>
      <c r="P184" s="196"/>
      <c r="Q184" s="196"/>
      <c r="R184" s="60">
        <f t="shared" si="43"/>
        <v>10000</v>
      </c>
      <c r="S184" s="130">
        <v>3000</v>
      </c>
      <c r="T184" s="33">
        <v>3000</v>
      </c>
      <c r="U184" s="33">
        <v>0</v>
      </c>
      <c r="V184" s="109">
        <v>4000</v>
      </c>
      <c r="W184" s="60">
        <v>10000</v>
      </c>
      <c r="X184" s="109">
        <v>10000</v>
      </c>
      <c r="Y184" s="29">
        <f t="shared" si="38"/>
        <v>10000</v>
      </c>
    </row>
    <row r="185" spans="1:25" s="3" customFormat="1" ht="21" customHeight="1">
      <c r="A185" s="185" t="s">
        <v>267</v>
      </c>
      <c r="B185" s="186"/>
      <c r="C185" s="186"/>
      <c r="D185" s="186"/>
      <c r="E185" s="186"/>
      <c r="F185" s="187"/>
      <c r="G185" s="188" t="s">
        <v>62</v>
      </c>
      <c r="H185" s="189"/>
      <c r="I185" s="189"/>
      <c r="J185" s="189"/>
      <c r="K185" s="189"/>
      <c r="L185" s="189"/>
      <c r="M185" s="189"/>
      <c r="N185" s="189"/>
      <c r="O185" s="189"/>
      <c r="P185" s="189"/>
      <c r="Q185" s="189"/>
      <c r="R185" s="58">
        <f>R186</f>
        <v>11500</v>
      </c>
      <c r="S185" s="129">
        <f aca="true" t="shared" si="44" ref="S185:X185">S186</f>
        <v>3000</v>
      </c>
      <c r="T185" s="31">
        <f t="shared" si="44"/>
        <v>4000</v>
      </c>
      <c r="U185" s="31">
        <f t="shared" si="44"/>
        <v>0</v>
      </c>
      <c r="V185" s="108">
        <f t="shared" si="44"/>
        <v>4500</v>
      </c>
      <c r="W185" s="58">
        <f t="shared" si="44"/>
        <v>11820</v>
      </c>
      <c r="X185" s="108">
        <f t="shared" si="44"/>
        <v>11850</v>
      </c>
      <c r="Y185" s="29">
        <f t="shared" si="38"/>
        <v>11500</v>
      </c>
    </row>
    <row r="186" spans="1:25" ht="16.5" customHeight="1" thickBot="1">
      <c r="A186" s="190" t="s">
        <v>268</v>
      </c>
      <c r="B186" s="191"/>
      <c r="C186" s="191"/>
      <c r="D186" s="191"/>
      <c r="E186" s="191"/>
      <c r="F186" s="192"/>
      <c r="G186" s="193" t="s">
        <v>63</v>
      </c>
      <c r="H186" s="194"/>
      <c r="I186" s="194"/>
      <c r="J186" s="194"/>
      <c r="K186" s="194"/>
      <c r="L186" s="194"/>
      <c r="M186" s="194"/>
      <c r="N186" s="194"/>
      <c r="O186" s="194"/>
      <c r="P186" s="194"/>
      <c r="Q186" s="194"/>
      <c r="R186" s="59">
        <f>СБР!R196</f>
        <v>11500</v>
      </c>
      <c r="S186" s="136">
        <f>СБР!S196</f>
        <v>3000</v>
      </c>
      <c r="T186" s="137">
        <f>СБР!T196</f>
        <v>4000</v>
      </c>
      <c r="U186" s="137">
        <f>СБР!U196</f>
        <v>0</v>
      </c>
      <c r="V186" s="138">
        <f>СБР!V196</f>
        <v>4500</v>
      </c>
      <c r="W186" s="59">
        <f>СБР!W196</f>
        <v>11820</v>
      </c>
      <c r="X186" s="59">
        <f>СБР!X196</f>
        <v>11850</v>
      </c>
      <c r="Y186" s="29">
        <f t="shared" si="38"/>
        <v>11500</v>
      </c>
    </row>
    <row r="187" spans="1:25" ht="16.5" customHeight="1" hidden="1">
      <c r="A187" s="190" t="s">
        <v>289</v>
      </c>
      <c r="B187" s="191"/>
      <c r="C187" s="191"/>
      <c r="D187" s="191"/>
      <c r="E187" s="191"/>
      <c r="F187" s="192"/>
      <c r="G187" s="193" t="s">
        <v>42</v>
      </c>
      <c r="H187" s="194"/>
      <c r="I187" s="194"/>
      <c r="J187" s="194"/>
      <c r="K187" s="194"/>
      <c r="L187" s="194"/>
      <c r="M187" s="194"/>
      <c r="N187" s="194"/>
      <c r="O187" s="194"/>
      <c r="P187" s="194"/>
      <c r="Q187" s="194"/>
      <c r="R187" s="60">
        <f>SUM(S187:V187)</f>
        <v>0</v>
      </c>
      <c r="S187" s="123"/>
      <c r="T187" s="116"/>
      <c r="U187" s="116"/>
      <c r="V187" s="124"/>
      <c r="W187" s="113"/>
      <c r="X187" s="60"/>
      <c r="Y187" s="29">
        <f t="shared" si="38"/>
        <v>0</v>
      </c>
    </row>
    <row r="188" spans="1:25" ht="16.5" customHeight="1" hidden="1">
      <c r="A188" s="190" t="s">
        <v>269</v>
      </c>
      <c r="B188" s="191"/>
      <c r="C188" s="191"/>
      <c r="D188" s="191"/>
      <c r="E188" s="191"/>
      <c r="F188" s="192"/>
      <c r="G188" s="193" t="s">
        <v>76</v>
      </c>
      <c r="H188" s="194"/>
      <c r="I188" s="194"/>
      <c r="J188" s="194"/>
      <c r="K188" s="194"/>
      <c r="L188" s="194"/>
      <c r="M188" s="194"/>
      <c r="N188" s="194"/>
      <c r="O188" s="194"/>
      <c r="P188" s="194"/>
      <c r="Q188" s="194"/>
      <c r="R188" s="60">
        <f>SUM(S188:V188)</f>
        <v>11500</v>
      </c>
      <c r="S188" s="63">
        <v>3000</v>
      </c>
      <c r="T188" s="33">
        <v>4000</v>
      </c>
      <c r="U188" s="33">
        <f>1000-1000</f>
        <v>0</v>
      </c>
      <c r="V188" s="47">
        <v>4500</v>
      </c>
      <c r="W188" s="60">
        <v>11820</v>
      </c>
      <c r="X188" s="60">
        <v>11850</v>
      </c>
      <c r="Y188" s="29">
        <f>SUM(S188:X188)</f>
        <v>35170</v>
      </c>
    </row>
    <row r="189" spans="1:25" ht="16.5" customHeight="1" hidden="1">
      <c r="A189" s="190" t="s">
        <v>290</v>
      </c>
      <c r="B189" s="191"/>
      <c r="C189" s="191"/>
      <c r="D189" s="191"/>
      <c r="E189" s="191"/>
      <c r="F189" s="192"/>
      <c r="G189" s="220" t="s">
        <v>78</v>
      </c>
      <c r="H189" s="221"/>
      <c r="I189" s="221"/>
      <c r="J189" s="221"/>
      <c r="K189" s="221"/>
      <c r="L189" s="221"/>
      <c r="M189" s="221"/>
      <c r="N189" s="221"/>
      <c r="O189" s="221"/>
      <c r="P189" s="221"/>
      <c r="Q189" s="221"/>
      <c r="R189" s="60">
        <f>SUM(S189:V189)</f>
        <v>0</v>
      </c>
      <c r="S189" s="63"/>
      <c r="T189" s="33"/>
      <c r="U189" s="33"/>
      <c r="V189" s="47"/>
      <c r="W189" s="60"/>
      <c r="X189" s="60"/>
      <c r="Y189" s="29">
        <f t="shared" si="38"/>
        <v>0</v>
      </c>
    </row>
    <row r="190" spans="1:25" s="4" customFormat="1" ht="16.5" customHeight="1">
      <c r="A190" s="147" t="s">
        <v>241</v>
      </c>
      <c r="B190" s="148"/>
      <c r="C190" s="148"/>
      <c r="D190" s="148"/>
      <c r="E190" s="148"/>
      <c r="F190" s="178"/>
      <c r="G190" s="222" t="s">
        <v>64</v>
      </c>
      <c r="H190" s="223"/>
      <c r="I190" s="223"/>
      <c r="J190" s="223"/>
      <c r="K190" s="223"/>
      <c r="L190" s="223"/>
      <c r="M190" s="223"/>
      <c r="N190" s="223"/>
      <c r="O190" s="223"/>
      <c r="P190" s="223"/>
      <c r="Q190" s="223"/>
      <c r="R190" s="38">
        <f aca="true" t="shared" si="45" ref="R190:X190">R194+R191</f>
        <v>56000</v>
      </c>
      <c r="S190" s="69">
        <f t="shared" si="45"/>
        <v>14000</v>
      </c>
      <c r="T190" s="30">
        <f t="shared" si="45"/>
        <v>14000</v>
      </c>
      <c r="U190" s="30">
        <f t="shared" si="45"/>
        <v>14000</v>
      </c>
      <c r="V190" s="69">
        <f t="shared" si="45"/>
        <v>14000</v>
      </c>
      <c r="W190" s="38">
        <f t="shared" si="45"/>
        <v>0</v>
      </c>
      <c r="X190" s="38">
        <f t="shared" si="45"/>
        <v>0</v>
      </c>
      <c r="Y190" s="29">
        <f>SUM(S190:V190)</f>
        <v>56000</v>
      </c>
    </row>
    <row r="191" spans="1:25" s="4" customFormat="1" ht="16.5" customHeight="1">
      <c r="A191" s="185" t="s">
        <v>242</v>
      </c>
      <c r="B191" s="186"/>
      <c r="C191" s="186"/>
      <c r="D191" s="186"/>
      <c r="E191" s="186"/>
      <c r="F191" s="187"/>
      <c r="G191" s="224" t="s">
        <v>65</v>
      </c>
      <c r="H191" s="225"/>
      <c r="I191" s="225"/>
      <c r="J191" s="225"/>
      <c r="K191" s="225"/>
      <c r="L191" s="225"/>
      <c r="M191" s="225"/>
      <c r="N191" s="225"/>
      <c r="O191" s="225"/>
      <c r="P191" s="225"/>
      <c r="Q191" s="225"/>
      <c r="R191" s="58">
        <f>R192</f>
        <v>56000</v>
      </c>
      <c r="S191" s="61">
        <f aca="true" t="shared" si="46" ref="S191:X192">S192</f>
        <v>14000</v>
      </c>
      <c r="T191" s="31">
        <f t="shared" si="46"/>
        <v>14000</v>
      </c>
      <c r="U191" s="31">
        <f t="shared" si="46"/>
        <v>14000</v>
      </c>
      <c r="V191" s="35">
        <f t="shared" si="46"/>
        <v>14000</v>
      </c>
      <c r="W191" s="58">
        <f t="shared" si="46"/>
        <v>0</v>
      </c>
      <c r="X191" s="58">
        <f t="shared" si="46"/>
        <v>0</v>
      </c>
      <c r="Y191" s="29">
        <f>SUM(S191:V191)</f>
        <v>56000</v>
      </c>
    </row>
    <row r="192" spans="1:25" s="4" customFormat="1" ht="16.5" customHeight="1" thickBot="1">
      <c r="A192" s="190" t="s">
        <v>243</v>
      </c>
      <c r="B192" s="191"/>
      <c r="C192" s="191"/>
      <c r="D192" s="191"/>
      <c r="E192" s="191"/>
      <c r="F192" s="192"/>
      <c r="G192" s="220" t="s">
        <v>66</v>
      </c>
      <c r="H192" s="221"/>
      <c r="I192" s="221"/>
      <c r="J192" s="221"/>
      <c r="K192" s="221"/>
      <c r="L192" s="221"/>
      <c r="M192" s="221"/>
      <c r="N192" s="221"/>
      <c r="O192" s="221"/>
      <c r="P192" s="221"/>
      <c r="Q192" s="221"/>
      <c r="R192" s="59">
        <f>СБР!R202</f>
        <v>56000</v>
      </c>
      <c r="S192" s="62">
        <f>СБР!S202</f>
        <v>14000</v>
      </c>
      <c r="T192" s="32">
        <f>СБР!T202</f>
        <v>14000</v>
      </c>
      <c r="U192" s="32">
        <f>СБР!U202</f>
        <v>14000</v>
      </c>
      <c r="V192" s="36">
        <f>СБР!V202</f>
        <v>14000</v>
      </c>
      <c r="W192" s="59">
        <f t="shared" si="46"/>
        <v>0</v>
      </c>
      <c r="X192" s="59">
        <f t="shared" si="46"/>
        <v>0</v>
      </c>
      <c r="Y192" s="29">
        <f>SUM(S192:V192)</f>
        <v>56000</v>
      </c>
    </row>
    <row r="193" spans="1:25" s="4" customFormat="1" ht="16.5" customHeight="1" hidden="1" thickBot="1">
      <c r="A193" s="226" t="s">
        <v>244</v>
      </c>
      <c r="B193" s="227"/>
      <c r="C193" s="227"/>
      <c r="D193" s="227"/>
      <c r="E193" s="227"/>
      <c r="F193" s="228"/>
      <c r="G193" s="229" t="s">
        <v>67</v>
      </c>
      <c r="H193" s="230"/>
      <c r="I193" s="230"/>
      <c r="J193" s="230"/>
      <c r="K193" s="230"/>
      <c r="L193" s="230"/>
      <c r="M193" s="230"/>
      <c r="N193" s="230"/>
      <c r="O193" s="230"/>
      <c r="P193" s="230"/>
      <c r="Q193" s="230"/>
      <c r="R193" s="60">
        <f>SUM(S193:V193)</f>
        <v>0</v>
      </c>
      <c r="S193" s="63">
        <v>0</v>
      </c>
      <c r="T193" s="33">
        <v>0</v>
      </c>
      <c r="U193" s="33">
        <v>0</v>
      </c>
      <c r="V193" s="47">
        <v>0</v>
      </c>
      <c r="W193" s="60">
        <v>0</v>
      </c>
      <c r="X193" s="60">
        <v>0</v>
      </c>
      <c r="Y193" s="29">
        <f>SUM(S193:X193)</f>
        <v>0</v>
      </c>
    </row>
    <row r="194" spans="1:25" s="3" customFormat="1" ht="16.5" customHeight="1" hidden="1">
      <c r="A194" s="185" t="s">
        <v>291</v>
      </c>
      <c r="B194" s="186"/>
      <c r="C194" s="186"/>
      <c r="D194" s="186"/>
      <c r="E194" s="186"/>
      <c r="F194" s="187"/>
      <c r="G194" s="231" t="s">
        <v>83</v>
      </c>
      <c r="H194" s="232"/>
      <c r="I194" s="232"/>
      <c r="J194" s="232"/>
      <c r="K194" s="232"/>
      <c r="L194" s="232"/>
      <c r="M194" s="232"/>
      <c r="N194" s="232"/>
      <c r="O194" s="232"/>
      <c r="P194" s="232"/>
      <c r="Q194" s="232"/>
      <c r="R194" s="58">
        <f>R195</f>
        <v>0</v>
      </c>
      <c r="S194" s="64">
        <f aca="true" t="shared" si="47" ref="S194:V195">S195</f>
        <v>0</v>
      </c>
      <c r="T194" s="37">
        <f t="shared" si="47"/>
        <v>0</v>
      </c>
      <c r="U194" s="37">
        <f t="shared" si="47"/>
        <v>0</v>
      </c>
      <c r="V194" s="84">
        <f t="shared" si="47"/>
        <v>0</v>
      </c>
      <c r="W194" s="86"/>
      <c r="X194" s="86"/>
      <c r="Y194" s="29">
        <f t="shared" si="38"/>
        <v>0</v>
      </c>
    </row>
    <row r="195" spans="1:25" ht="16.5" customHeight="1" hidden="1">
      <c r="A195" s="190" t="s">
        <v>292</v>
      </c>
      <c r="B195" s="191"/>
      <c r="C195" s="191"/>
      <c r="D195" s="191"/>
      <c r="E195" s="191"/>
      <c r="F195" s="192"/>
      <c r="G195" s="231" t="s">
        <v>46</v>
      </c>
      <c r="H195" s="232"/>
      <c r="I195" s="232"/>
      <c r="J195" s="232"/>
      <c r="K195" s="232"/>
      <c r="L195" s="232"/>
      <c r="M195" s="232"/>
      <c r="N195" s="232"/>
      <c r="O195" s="232"/>
      <c r="P195" s="232"/>
      <c r="Q195" s="232"/>
      <c r="R195" s="59">
        <f>R196</f>
        <v>0</v>
      </c>
      <c r="S195" s="62">
        <f t="shared" si="47"/>
        <v>0</v>
      </c>
      <c r="T195" s="32">
        <f t="shared" si="47"/>
        <v>0</v>
      </c>
      <c r="U195" s="32">
        <f t="shared" si="47"/>
        <v>0</v>
      </c>
      <c r="V195" s="36">
        <f t="shared" si="47"/>
        <v>0</v>
      </c>
      <c r="W195" s="87"/>
      <c r="X195" s="87"/>
      <c r="Y195" s="29">
        <f t="shared" si="38"/>
        <v>0</v>
      </c>
    </row>
    <row r="196" spans="1:25" ht="16.5" customHeight="1" hidden="1" thickBot="1">
      <c r="A196" s="226" t="s">
        <v>293</v>
      </c>
      <c r="B196" s="227"/>
      <c r="C196" s="227"/>
      <c r="D196" s="227"/>
      <c r="E196" s="227"/>
      <c r="F196" s="228"/>
      <c r="G196" s="233" t="s">
        <v>42</v>
      </c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  <c r="R196" s="60">
        <f>SUM(S196:V196)</f>
        <v>0</v>
      </c>
      <c r="S196" s="65"/>
      <c r="T196" s="34"/>
      <c r="U196" s="34"/>
      <c r="V196" s="85"/>
      <c r="W196" s="88"/>
      <c r="X196" s="88"/>
      <c r="Y196" s="29">
        <f t="shared" si="38"/>
        <v>0</v>
      </c>
    </row>
    <row r="197" spans="1:25" ht="18.75" customHeight="1" thickBot="1">
      <c r="A197" s="235" t="s">
        <v>68</v>
      </c>
      <c r="B197" s="236"/>
      <c r="C197" s="236"/>
      <c r="D197" s="236"/>
      <c r="E197" s="236"/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98">
        <f>R190+R168+R147+R142+R112+R107+R100+R94+R85+R64+R49+R45+R39+R23+R17+R78</f>
        <v>17783770.3</v>
      </c>
      <c r="S197" s="105">
        <f aca="true" t="shared" si="48" ref="S197:X197">S190+S168+S147+S142+S112+S107+S100+S94+S85+S64+S49+S45+S39+S23+S17+S78</f>
        <v>5256654</v>
      </c>
      <c r="T197" s="98">
        <f t="shared" si="48"/>
        <v>6821374.85</v>
      </c>
      <c r="U197" s="98">
        <f t="shared" si="48"/>
        <v>4286926.59</v>
      </c>
      <c r="V197" s="98">
        <f t="shared" si="48"/>
        <v>1202777</v>
      </c>
      <c r="W197" s="98">
        <f t="shared" si="48"/>
        <v>15332000</v>
      </c>
      <c r="X197" s="98">
        <f t="shared" si="48"/>
        <v>15784000</v>
      </c>
      <c r="Y197" s="29">
        <f>SUM(S197:V197)</f>
        <v>17567732.439999998</v>
      </c>
    </row>
    <row r="198" spans="1:25" ht="4.5" customHeight="1">
      <c r="A198" s="237"/>
      <c r="B198" s="237"/>
      <c r="C198" s="237"/>
      <c r="D198" s="237"/>
      <c r="E198" s="237"/>
      <c r="F198" s="237"/>
      <c r="G198" s="237"/>
      <c r="H198" s="237"/>
      <c r="I198" s="237"/>
      <c r="J198" s="237"/>
      <c r="K198" s="237"/>
      <c r="L198" s="237"/>
      <c r="M198" s="237"/>
      <c r="N198" s="237"/>
      <c r="O198" s="237"/>
      <c r="P198" s="237"/>
      <c r="Q198" s="237"/>
      <c r="R198" s="237"/>
      <c r="S198" s="237"/>
      <c r="T198" s="237"/>
      <c r="U198" s="237"/>
      <c r="V198" s="237"/>
      <c r="W198" s="45"/>
      <c r="X198" s="45"/>
      <c r="Y198" s="6">
        <f>R197-Y197</f>
        <v>216037.86000000313</v>
      </c>
    </row>
    <row r="199" spans="1:24" ht="18" customHeight="1">
      <c r="A199" s="238" t="s">
        <v>86</v>
      </c>
      <c r="B199" s="238"/>
      <c r="C199" s="238"/>
      <c r="D199" s="238"/>
      <c r="E199" s="238"/>
      <c r="F199" s="238"/>
      <c r="G199" s="238"/>
      <c r="H199" s="238"/>
      <c r="I199" s="238"/>
      <c r="J199" s="238"/>
      <c r="K199" s="238"/>
      <c r="L199" s="238"/>
      <c r="M199" s="238"/>
      <c r="N199" s="239" t="s">
        <v>87</v>
      </c>
      <c r="O199" s="239"/>
      <c r="P199" s="239"/>
      <c r="Q199" s="239"/>
      <c r="R199" s="239"/>
      <c r="S199" s="240"/>
      <c r="T199" s="240"/>
      <c r="U199" s="240"/>
      <c r="V199" s="240"/>
      <c r="W199" s="2"/>
      <c r="X199" s="2"/>
    </row>
    <row r="200" spans="1:24" ht="9.75" customHeight="1">
      <c r="A200" s="240"/>
      <c r="B200" s="240"/>
      <c r="C200" s="240"/>
      <c r="D200" s="240"/>
      <c r="E200" s="240"/>
      <c r="F200" s="240"/>
      <c r="G200" s="240"/>
      <c r="H200" s="240"/>
      <c r="I200" s="240"/>
      <c r="J200" s="2"/>
      <c r="K200" s="241" t="s">
        <v>69</v>
      </c>
      <c r="L200" s="241"/>
      <c r="M200" s="25"/>
      <c r="N200" s="242"/>
      <c r="O200" s="242"/>
      <c r="P200" s="241" t="s">
        <v>70</v>
      </c>
      <c r="Q200" s="241"/>
      <c r="R200" s="241"/>
      <c r="S200" s="240"/>
      <c r="T200" s="240"/>
      <c r="U200" s="240"/>
      <c r="V200" s="240"/>
      <c r="W200" s="2"/>
      <c r="X200" s="2"/>
    </row>
    <row r="201" spans="1:24" ht="16.5" customHeight="1">
      <c r="A201" s="238" t="s">
        <v>79</v>
      </c>
      <c r="B201" s="238"/>
      <c r="C201" s="238"/>
      <c r="D201" s="238"/>
      <c r="E201" s="238"/>
      <c r="F201" s="238"/>
      <c r="G201" s="238"/>
      <c r="H201" s="238"/>
      <c r="I201" s="238"/>
      <c r="J201" s="238"/>
      <c r="K201" s="238"/>
      <c r="L201" s="238"/>
      <c r="M201" s="238"/>
      <c r="N201" s="239" t="s">
        <v>80</v>
      </c>
      <c r="O201" s="239"/>
      <c r="P201" s="239"/>
      <c r="Q201" s="239"/>
      <c r="R201" s="239"/>
      <c r="S201" s="240"/>
      <c r="T201" s="240"/>
      <c r="U201" s="240"/>
      <c r="V201" s="240"/>
      <c r="W201" s="2"/>
      <c r="X201" s="2"/>
    </row>
    <row r="202" spans="1:24" ht="9" customHeight="1">
      <c r="A202" s="240"/>
      <c r="B202" s="240"/>
      <c r="C202" s="240"/>
      <c r="D202" s="240"/>
      <c r="E202" s="240"/>
      <c r="F202" s="240"/>
      <c r="G202" s="240"/>
      <c r="H202" s="240"/>
      <c r="I202" s="240"/>
      <c r="J202" s="2"/>
      <c r="K202" s="241" t="s">
        <v>69</v>
      </c>
      <c r="L202" s="241"/>
      <c r="M202" s="25"/>
      <c r="N202" s="242"/>
      <c r="O202" s="242"/>
      <c r="P202" s="241" t="s">
        <v>70</v>
      </c>
      <c r="Q202" s="241"/>
      <c r="R202" s="241"/>
      <c r="S202" s="240"/>
      <c r="T202" s="240"/>
      <c r="U202" s="240"/>
      <c r="V202" s="240"/>
      <c r="W202" s="2"/>
      <c r="X202" s="2"/>
    </row>
    <row r="203" spans="1:24" ht="12" customHeight="1">
      <c r="A203" s="245">
        <f>V4</f>
        <v>40788</v>
      </c>
      <c r="B203" s="246"/>
      <c r="C203" s="246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43"/>
      <c r="X203" s="43"/>
    </row>
    <row r="204" spans="1:24" ht="16.5" customHeight="1">
      <c r="A204" s="241" t="s">
        <v>71</v>
      </c>
      <c r="B204" s="241"/>
      <c r="C204" s="247"/>
      <c r="D204" s="247"/>
      <c r="E204" s="247"/>
      <c r="F204" s="247"/>
      <c r="G204" s="247"/>
      <c r="H204" s="247"/>
      <c r="I204" s="247"/>
      <c r="J204" s="247"/>
      <c r="K204" s="247"/>
      <c r="L204" s="247"/>
      <c r="M204" s="247"/>
      <c r="N204" s="247"/>
      <c r="O204" s="247"/>
      <c r="P204" s="247"/>
      <c r="Q204" s="247"/>
      <c r="R204" s="247"/>
      <c r="S204" s="247"/>
      <c r="T204" s="247"/>
      <c r="U204" s="247"/>
      <c r="V204" s="247"/>
      <c r="W204" s="43"/>
      <c r="X204" s="43"/>
    </row>
    <row r="205" spans="1:24" ht="16.5" customHeight="1">
      <c r="A205" s="243" t="s">
        <v>313</v>
      </c>
      <c r="B205" s="243"/>
      <c r="C205" s="243"/>
      <c r="D205" s="243"/>
      <c r="E205" s="243"/>
      <c r="F205" s="243"/>
      <c r="G205" s="243"/>
      <c r="H205" s="243"/>
      <c r="I205" s="243"/>
      <c r="J205" s="243"/>
      <c r="K205" s="243"/>
      <c r="L205" s="243"/>
      <c r="M205" s="243"/>
      <c r="N205" s="243"/>
      <c r="O205" s="243"/>
      <c r="P205" s="243"/>
      <c r="Q205" s="243"/>
      <c r="R205" s="243"/>
      <c r="S205" s="243"/>
      <c r="T205" s="243"/>
      <c r="U205" s="243"/>
      <c r="V205" s="243"/>
      <c r="W205" s="45"/>
      <c r="X205" s="45"/>
    </row>
    <row r="206" ht="16.5" customHeight="1"/>
    <row r="213" ht="12.75">
      <c r="R213" s="1" t="s">
        <v>73</v>
      </c>
    </row>
  </sheetData>
  <mergeCells count="408">
    <mergeCell ref="A205:V205"/>
    <mergeCell ref="K4:R4"/>
    <mergeCell ref="S202:V202"/>
    <mergeCell ref="A203:C203"/>
    <mergeCell ref="A204:B204"/>
    <mergeCell ref="C204:V204"/>
    <mergeCell ref="A202:I202"/>
    <mergeCell ref="K202:L202"/>
    <mergeCell ref="N202:O202"/>
    <mergeCell ref="P202:R202"/>
    <mergeCell ref="S200:V200"/>
    <mergeCell ref="A201:H201"/>
    <mergeCell ref="I201:M201"/>
    <mergeCell ref="N201:R201"/>
    <mergeCell ref="S201:V201"/>
    <mergeCell ref="A200:I200"/>
    <mergeCell ref="K200:L200"/>
    <mergeCell ref="N200:O200"/>
    <mergeCell ref="P200:R200"/>
    <mergeCell ref="A199:H199"/>
    <mergeCell ref="I199:M199"/>
    <mergeCell ref="N199:R199"/>
    <mergeCell ref="S199:V199"/>
    <mergeCell ref="A196:F196"/>
    <mergeCell ref="G196:Q196"/>
    <mergeCell ref="A197:Q197"/>
    <mergeCell ref="A198:V198"/>
    <mergeCell ref="A194:F194"/>
    <mergeCell ref="G194:Q194"/>
    <mergeCell ref="A195:F195"/>
    <mergeCell ref="G195:Q195"/>
    <mergeCell ref="A192:F192"/>
    <mergeCell ref="G192:Q192"/>
    <mergeCell ref="A193:F193"/>
    <mergeCell ref="G193:Q193"/>
    <mergeCell ref="A190:F190"/>
    <mergeCell ref="G190:Q190"/>
    <mergeCell ref="A191:F191"/>
    <mergeCell ref="G191:Q191"/>
    <mergeCell ref="A188:F188"/>
    <mergeCell ref="G188:Q188"/>
    <mergeCell ref="A189:F189"/>
    <mergeCell ref="G189:Q189"/>
    <mergeCell ref="A186:F186"/>
    <mergeCell ref="G186:Q186"/>
    <mergeCell ref="A187:F187"/>
    <mergeCell ref="G187:Q187"/>
    <mergeCell ref="A184:F184"/>
    <mergeCell ref="G184:Q184"/>
    <mergeCell ref="A185:F185"/>
    <mergeCell ref="G185:Q185"/>
    <mergeCell ref="A182:F182"/>
    <mergeCell ref="G182:Q182"/>
    <mergeCell ref="A183:F183"/>
    <mergeCell ref="G183:Q183"/>
    <mergeCell ref="A180:F180"/>
    <mergeCell ref="G180:Q180"/>
    <mergeCell ref="A181:F181"/>
    <mergeCell ref="G181:Q181"/>
    <mergeCell ref="A178:F178"/>
    <mergeCell ref="G178:Q178"/>
    <mergeCell ref="A179:F179"/>
    <mergeCell ref="G179:Q179"/>
    <mergeCell ref="A176:F176"/>
    <mergeCell ref="G176:Q176"/>
    <mergeCell ref="A177:F177"/>
    <mergeCell ref="G177:Q177"/>
    <mergeCell ref="A174:F174"/>
    <mergeCell ref="G174:Q174"/>
    <mergeCell ref="A175:F175"/>
    <mergeCell ref="G175:Q175"/>
    <mergeCell ref="A172:F172"/>
    <mergeCell ref="G172:Q172"/>
    <mergeCell ref="A173:F173"/>
    <mergeCell ref="G173:Q173"/>
    <mergeCell ref="A170:F170"/>
    <mergeCell ref="G170:Q170"/>
    <mergeCell ref="A171:F171"/>
    <mergeCell ref="G171:Q171"/>
    <mergeCell ref="A168:F168"/>
    <mergeCell ref="G168:Q168"/>
    <mergeCell ref="A169:E169"/>
    <mergeCell ref="G169:Q169"/>
    <mergeCell ref="A166:F166"/>
    <mergeCell ref="G166:Q166"/>
    <mergeCell ref="A167:F167"/>
    <mergeCell ref="G167:Q167"/>
    <mergeCell ref="A164:E164"/>
    <mergeCell ref="G164:Q164"/>
    <mergeCell ref="A165:F165"/>
    <mergeCell ref="G165:Q165"/>
    <mergeCell ref="A162:F162"/>
    <mergeCell ref="G162:Q162"/>
    <mergeCell ref="A163:F163"/>
    <mergeCell ref="G163:Q163"/>
    <mergeCell ref="A160:F160"/>
    <mergeCell ref="G160:Q160"/>
    <mergeCell ref="A161:F161"/>
    <mergeCell ref="G161:Q161"/>
    <mergeCell ref="A158:F158"/>
    <mergeCell ref="G158:Q158"/>
    <mergeCell ref="A159:F159"/>
    <mergeCell ref="G159:Q159"/>
    <mergeCell ref="A156:F156"/>
    <mergeCell ref="G156:Q156"/>
    <mergeCell ref="A157:F157"/>
    <mergeCell ref="G157:Q157"/>
    <mergeCell ref="A154:F154"/>
    <mergeCell ref="G154:Q154"/>
    <mergeCell ref="A155:F155"/>
    <mergeCell ref="G155:Q155"/>
    <mergeCell ref="A152:F152"/>
    <mergeCell ref="G152:Q152"/>
    <mergeCell ref="A153:F153"/>
    <mergeCell ref="G153:Q153"/>
    <mergeCell ref="A150:F150"/>
    <mergeCell ref="G150:Q150"/>
    <mergeCell ref="A151:F151"/>
    <mergeCell ref="G151:Q151"/>
    <mergeCell ref="A148:E148"/>
    <mergeCell ref="G148:Q148"/>
    <mergeCell ref="A149:F149"/>
    <mergeCell ref="G149:Q149"/>
    <mergeCell ref="A146:F146"/>
    <mergeCell ref="G146:Q146"/>
    <mergeCell ref="A147:F147"/>
    <mergeCell ref="G147:Q147"/>
    <mergeCell ref="A144:F144"/>
    <mergeCell ref="G144:Q144"/>
    <mergeCell ref="A145:F145"/>
    <mergeCell ref="G145:Q145"/>
    <mergeCell ref="A142:F142"/>
    <mergeCell ref="G142:Q142"/>
    <mergeCell ref="A143:F143"/>
    <mergeCell ref="G143:Q143"/>
    <mergeCell ref="A140:F140"/>
    <mergeCell ref="G140:Q140"/>
    <mergeCell ref="A141:F141"/>
    <mergeCell ref="G141:Q141"/>
    <mergeCell ref="A138:F138"/>
    <mergeCell ref="G138:Q138"/>
    <mergeCell ref="A139:F139"/>
    <mergeCell ref="G139:Q139"/>
    <mergeCell ref="A136:F136"/>
    <mergeCell ref="G136:Q136"/>
    <mergeCell ref="A137:F137"/>
    <mergeCell ref="G137:Q137"/>
    <mergeCell ref="A134:F134"/>
    <mergeCell ref="G134:Q134"/>
    <mergeCell ref="A135:F135"/>
    <mergeCell ref="G135:Q135"/>
    <mergeCell ref="A132:F132"/>
    <mergeCell ref="G132:Q132"/>
    <mergeCell ref="A133:F133"/>
    <mergeCell ref="G133:Q133"/>
    <mergeCell ref="A130:F130"/>
    <mergeCell ref="G130:Q130"/>
    <mergeCell ref="A131:F131"/>
    <mergeCell ref="G131:Q131"/>
    <mergeCell ref="A128:F128"/>
    <mergeCell ref="G128:Q128"/>
    <mergeCell ref="A129:F129"/>
    <mergeCell ref="G129:Q129"/>
    <mergeCell ref="A126:F126"/>
    <mergeCell ref="G126:Q126"/>
    <mergeCell ref="A127:F127"/>
    <mergeCell ref="G127:Q127"/>
    <mergeCell ref="A124:F124"/>
    <mergeCell ref="G124:Q124"/>
    <mergeCell ref="A125:F125"/>
    <mergeCell ref="G125:Q125"/>
    <mergeCell ref="A122:F122"/>
    <mergeCell ref="G122:Q122"/>
    <mergeCell ref="A123:F123"/>
    <mergeCell ref="G123:Q123"/>
    <mergeCell ref="A120:F120"/>
    <mergeCell ref="G120:Q120"/>
    <mergeCell ref="A121:F121"/>
    <mergeCell ref="G121:Q121"/>
    <mergeCell ref="A118:F118"/>
    <mergeCell ref="G118:Q118"/>
    <mergeCell ref="A119:F119"/>
    <mergeCell ref="G119:Q119"/>
    <mergeCell ref="A116:F116"/>
    <mergeCell ref="G116:Q116"/>
    <mergeCell ref="A117:F117"/>
    <mergeCell ref="G117:Q117"/>
    <mergeCell ref="A114:F114"/>
    <mergeCell ref="G114:Q114"/>
    <mergeCell ref="A115:F115"/>
    <mergeCell ref="G115:Q115"/>
    <mergeCell ref="A112:F112"/>
    <mergeCell ref="G112:Q112"/>
    <mergeCell ref="A113:E113"/>
    <mergeCell ref="G113:Q113"/>
    <mergeCell ref="A110:F110"/>
    <mergeCell ref="G110:Q110"/>
    <mergeCell ref="A111:F111"/>
    <mergeCell ref="G111:Q111"/>
    <mergeCell ref="A108:F108"/>
    <mergeCell ref="G108:Q108"/>
    <mergeCell ref="A109:F109"/>
    <mergeCell ref="G109:Q109"/>
    <mergeCell ref="A106:F106"/>
    <mergeCell ref="G106:Q106"/>
    <mergeCell ref="A107:F107"/>
    <mergeCell ref="G107:Q107"/>
    <mergeCell ref="A104:F104"/>
    <mergeCell ref="G104:Q104"/>
    <mergeCell ref="A105:F105"/>
    <mergeCell ref="G105:Q105"/>
    <mergeCell ref="A102:F102"/>
    <mergeCell ref="G102:Q102"/>
    <mergeCell ref="A103:F103"/>
    <mergeCell ref="G103:Q103"/>
    <mergeCell ref="A100:F100"/>
    <mergeCell ref="G100:Q100"/>
    <mergeCell ref="A101:F101"/>
    <mergeCell ref="G101:Q101"/>
    <mergeCell ref="A98:E98"/>
    <mergeCell ref="G98:Q98"/>
    <mergeCell ref="A99:E99"/>
    <mergeCell ref="G99:Q99"/>
    <mergeCell ref="A96:E96"/>
    <mergeCell ref="G96:Q96"/>
    <mergeCell ref="A97:E97"/>
    <mergeCell ref="G97:Q97"/>
    <mergeCell ref="A94:E94"/>
    <mergeCell ref="G94:Q94"/>
    <mergeCell ref="A95:F95"/>
    <mergeCell ref="G95:Q95"/>
    <mergeCell ref="A92:F92"/>
    <mergeCell ref="G92:Q92"/>
    <mergeCell ref="A93:F93"/>
    <mergeCell ref="G93:Q93"/>
    <mergeCell ref="A90:F90"/>
    <mergeCell ref="G90:Q90"/>
    <mergeCell ref="A91:E91"/>
    <mergeCell ref="G91:Q91"/>
    <mergeCell ref="A88:F88"/>
    <mergeCell ref="G88:Q88"/>
    <mergeCell ref="A89:E89"/>
    <mergeCell ref="G89:Q89"/>
    <mergeCell ref="A86:E86"/>
    <mergeCell ref="G86:Q86"/>
    <mergeCell ref="A87:E87"/>
    <mergeCell ref="G87:Q87"/>
    <mergeCell ref="A84:E84"/>
    <mergeCell ref="F84:Q84"/>
    <mergeCell ref="A85:F85"/>
    <mergeCell ref="G85:Q85"/>
    <mergeCell ref="A82:E82"/>
    <mergeCell ref="G82:Q82"/>
    <mergeCell ref="A83:E83"/>
    <mergeCell ref="G83:Q83"/>
    <mergeCell ref="A80:E80"/>
    <mergeCell ref="G80:Q80"/>
    <mergeCell ref="A81:E81"/>
    <mergeCell ref="G81:Q81"/>
    <mergeCell ref="A78:E78"/>
    <mergeCell ref="G78:Q78"/>
    <mergeCell ref="A79:F79"/>
    <mergeCell ref="G79:Q79"/>
    <mergeCell ref="A76:F76"/>
    <mergeCell ref="G76:Q76"/>
    <mergeCell ref="A77:F77"/>
    <mergeCell ref="G77:Q77"/>
    <mergeCell ref="A74:F74"/>
    <mergeCell ref="G74:Q74"/>
    <mergeCell ref="A75:F75"/>
    <mergeCell ref="G75:Q75"/>
    <mergeCell ref="A72:F72"/>
    <mergeCell ref="G72:Q72"/>
    <mergeCell ref="A73:F73"/>
    <mergeCell ref="G73:Q73"/>
    <mergeCell ref="A70:F70"/>
    <mergeCell ref="G70:Q70"/>
    <mergeCell ref="A71:F71"/>
    <mergeCell ref="G71:Q71"/>
    <mergeCell ref="A68:F68"/>
    <mergeCell ref="G68:Q68"/>
    <mergeCell ref="A69:F69"/>
    <mergeCell ref="G69:Q69"/>
    <mergeCell ref="A66:F66"/>
    <mergeCell ref="G66:Q66"/>
    <mergeCell ref="A67:F67"/>
    <mergeCell ref="G67:Q67"/>
    <mergeCell ref="A64:F64"/>
    <mergeCell ref="G64:Q64"/>
    <mergeCell ref="A65:E65"/>
    <mergeCell ref="G65:Q65"/>
    <mergeCell ref="A62:E62"/>
    <mergeCell ref="G62:Q62"/>
    <mergeCell ref="A63:E63"/>
    <mergeCell ref="G63:Q63"/>
    <mergeCell ref="A60:F60"/>
    <mergeCell ref="G60:Q60"/>
    <mergeCell ref="A61:E61"/>
    <mergeCell ref="G61:Q61"/>
    <mergeCell ref="A58:F58"/>
    <mergeCell ref="G58:Q58"/>
    <mergeCell ref="A59:F59"/>
    <mergeCell ref="G59:Q59"/>
    <mergeCell ref="A56:F56"/>
    <mergeCell ref="G56:Q56"/>
    <mergeCell ref="A57:F57"/>
    <mergeCell ref="G57:Q57"/>
    <mergeCell ref="A54:F54"/>
    <mergeCell ref="G54:Q54"/>
    <mergeCell ref="A55:E55"/>
    <mergeCell ref="G55:Q55"/>
    <mergeCell ref="A52:F52"/>
    <mergeCell ref="G52:Q52"/>
    <mergeCell ref="A53:F53"/>
    <mergeCell ref="G53:Q53"/>
    <mergeCell ref="A50:E50"/>
    <mergeCell ref="G50:Q50"/>
    <mergeCell ref="A51:F51"/>
    <mergeCell ref="G51:Q51"/>
    <mergeCell ref="A48:F48"/>
    <mergeCell ref="G48:Q48"/>
    <mergeCell ref="A49:F49"/>
    <mergeCell ref="G49:Q49"/>
    <mergeCell ref="A46:F46"/>
    <mergeCell ref="G46:Q46"/>
    <mergeCell ref="A47:F47"/>
    <mergeCell ref="G47:Q47"/>
    <mergeCell ref="A44:F44"/>
    <mergeCell ref="G44:Q44"/>
    <mergeCell ref="A45:F45"/>
    <mergeCell ref="G45:Q45"/>
    <mergeCell ref="A42:F42"/>
    <mergeCell ref="G42:Q42"/>
    <mergeCell ref="A43:F43"/>
    <mergeCell ref="G43:Q43"/>
    <mergeCell ref="A40:F40"/>
    <mergeCell ref="G40:Q40"/>
    <mergeCell ref="A41:F41"/>
    <mergeCell ref="G41:Q41"/>
    <mergeCell ref="A38:F38"/>
    <mergeCell ref="G38:Q38"/>
    <mergeCell ref="A39:F39"/>
    <mergeCell ref="G39:Q39"/>
    <mergeCell ref="A36:F36"/>
    <mergeCell ref="G36:Q36"/>
    <mergeCell ref="A37:F37"/>
    <mergeCell ref="G37:Q37"/>
    <mergeCell ref="A34:F34"/>
    <mergeCell ref="G34:Q34"/>
    <mergeCell ref="A35:F35"/>
    <mergeCell ref="G35:Q35"/>
    <mergeCell ref="A32:F32"/>
    <mergeCell ref="G32:Q32"/>
    <mergeCell ref="A33:F33"/>
    <mergeCell ref="G33:Q33"/>
    <mergeCell ref="A30:F30"/>
    <mergeCell ref="G30:Q30"/>
    <mergeCell ref="A31:F31"/>
    <mergeCell ref="G31:Q31"/>
    <mergeCell ref="A28:F28"/>
    <mergeCell ref="G28:Q28"/>
    <mergeCell ref="A29:F29"/>
    <mergeCell ref="G29:Q29"/>
    <mergeCell ref="A26:F26"/>
    <mergeCell ref="G26:Q26"/>
    <mergeCell ref="A27:F27"/>
    <mergeCell ref="G27:Q27"/>
    <mergeCell ref="A24:E24"/>
    <mergeCell ref="G24:Q24"/>
    <mergeCell ref="A25:F25"/>
    <mergeCell ref="G25:Q25"/>
    <mergeCell ref="A22:F22"/>
    <mergeCell ref="G22:Q22"/>
    <mergeCell ref="A23:F23"/>
    <mergeCell ref="G23:Q23"/>
    <mergeCell ref="A20:F20"/>
    <mergeCell ref="G20:Q20"/>
    <mergeCell ref="A21:F21"/>
    <mergeCell ref="G21:Q21"/>
    <mergeCell ref="A18:E18"/>
    <mergeCell ref="G18:Q18"/>
    <mergeCell ref="A19:F19"/>
    <mergeCell ref="G19:Q19"/>
    <mergeCell ref="A16:F16"/>
    <mergeCell ref="G16:Q16"/>
    <mergeCell ref="A17:F17"/>
    <mergeCell ref="G17:Q17"/>
    <mergeCell ref="W13:W14"/>
    <mergeCell ref="X13:X14"/>
    <mergeCell ref="A15:F15"/>
    <mergeCell ref="G15:Q15"/>
    <mergeCell ref="A12:V12"/>
    <mergeCell ref="A13:F14"/>
    <mergeCell ref="G13:Q14"/>
    <mergeCell ref="R13:R14"/>
    <mergeCell ref="S13:V13"/>
    <mergeCell ref="A8:F8"/>
    <mergeCell ref="A9:H9"/>
    <mergeCell ref="A11:C11"/>
    <mergeCell ref="G11:P11"/>
    <mergeCell ref="A6:E6"/>
    <mergeCell ref="F6:R6"/>
    <mergeCell ref="A7:G7"/>
    <mergeCell ref="H7:S7"/>
    <mergeCell ref="A1:V1"/>
    <mergeCell ref="A3:K3"/>
    <mergeCell ref="L3:N3"/>
    <mergeCell ref="O3:P3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23"/>
  <sheetViews>
    <sheetView tabSelected="1" zoomScale="85" zoomScaleNormal="85" workbookViewId="0" topLeftCell="A1">
      <pane xSplit="16" ySplit="1" topLeftCell="R185" activePane="bottomRight" state="frozen"/>
      <selection pane="topLeft" activeCell="A1" sqref="A1"/>
      <selection pane="topRight" activeCell="Q1" sqref="Q1"/>
      <selection pane="bottomLeft" activeCell="A2" sqref="A2"/>
      <selection pane="bottomRight" activeCell="U177" sqref="U177"/>
    </sheetView>
  </sheetViews>
  <sheetFormatPr defaultColWidth="9.00390625" defaultRowHeight="12.75"/>
  <cols>
    <col min="1" max="1" width="7.00390625" style="1" customWidth="1"/>
    <col min="2" max="2" width="5.75390625" style="1" customWidth="1"/>
    <col min="3" max="3" width="3.75390625" style="1" customWidth="1"/>
    <col min="4" max="4" width="0.12890625" style="1" customWidth="1"/>
    <col min="5" max="5" width="3.125" style="1" customWidth="1"/>
    <col min="6" max="6" width="0.2421875" style="1" customWidth="1"/>
    <col min="7" max="7" width="10.75390625" style="1" customWidth="1"/>
    <col min="8" max="8" width="11.75390625" style="1" customWidth="1"/>
    <col min="9" max="9" width="0.12890625" style="1" customWidth="1"/>
    <col min="10" max="10" width="3.75390625" style="1" customWidth="1"/>
    <col min="11" max="11" width="15.75390625" style="1" customWidth="1"/>
    <col min="12" max="12" width="3.75390625" style="1" customWidth="1"/>
    <col min="13" max="13" width="4.75390625" style="1" customWidth="1"/>
    <col min="14" max="14" width="1.12109375" style="1" customWidth="1"/>
    <col min="15" max="15" width="1.75390625" style="1" customWidth="1"/>
    <col min="16" max="16" width="0.2421875" style="1" customWidth="1"/>
    <col min="17" max="17" width="2.00390625" style="1" hidden="1" customWidth="1"/>
    <col min="18" max="18" width="13.625" style="1" customWidth="1"/>
    <col min="19" max="22" width="12.25390625" style="1" customWidth="1"/>
    <col min="23" max="23" width="13.375" style="1" customWidth="1"/>
    <col min="24" max="24" width="13.625" style="1" customWidth="1"/>
    <col min="25" max="25" width="14.375" style="1" customWidth="1"/>
    <col min="26" max="16384" width="9.125" style="1" customWidth="1"/>
  </cols>
  <sheetData>
    <row r="1" spans="1:24" ht="19.5" customHeight="1" thickBo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41"/>
      <c r="X1" s="41"/>
    </row>
    <row r="2" spans="1:24" ht="14.25" customHeight="1" thickBot="1">
      <c r="A2" s="102"/>
      <c r="B2" s="102"/>
      <c r="C2" s="102"/>
      <c r="D2" s="102"/>
      <c r="E2" s="102"/>
      <c r="F2" s="102"/>
      <c r="G2" s="102"/>
      <c r="H2" s="102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4" t="s">
        <v>1</v>
      </c>
      <c r="W2" s="68"/>
      <c r="X2" s="68"/>
    </row>
    <row r="3" spans="1:24" ht="18" customHeight="1">
      <c r="A3" s="158" t="s">
        <v>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9" t="s">
        <v>113</v>
      </c>
      <c r="M3" s="159"/>
      <c r="N3" s="159"/>
      <c r="O3" s="157" t="s">
        <v>3</v>
      </c>
      <c r="P3" s="157"/>
      <c r="Q3" s="7"/>
      <c r="R3" s="7"/>
      <c r="S3" s="7"/>
      <c r="T3" s="7"/>
      <c r="U3" s="8" t="s">
        <v>4</v>
      </c>
      <c r="V3" s="15" t="s">
        <v>113</v>
      </c>
      <c r="W3" s="94"/>
      <c r="X3" s="94"/>
    </row>
    <row r="4" spans="1:24" ht="24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244" t="s">
        <v>114</v>
      </c>
      <c r="L4" s="244"/>
      <c r="M4" s="244"/>
      <c r="N4" s="244"/>
      <c r="O4" s="244"/>
      <c r="P4" s="244"/>
      <c r="Q4" s="244"/>
      <c r="R4" s="11"/>
      <c r="S4" s="11"/>
      <c r="T4" s="11"/>
      <c r="U4" s="8" t="s">
        <v>5</v>
      </c>
      <c r="V4" s="139">
        <v>40788</v>
      </c>
      <c r="W4" s="94"/>
      <c r="X4" s="94"/>
    </row>
    <row r="5" spans="1:24" ht="18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9"/>
      <c r="V5" s="16"/>
      <c r="W5" s="95"/>
      <c r="X5" s="95"/>
    </row>
    <row r="6" spans="1:24" ht="18.75" customHeight="1">
      <c r="A6" s="160" t="s">
        <v>6</v>
      </c>
      <c r="B6" s="160"/>
      <c r="C6" s="160"/>
      <c r="D6" s="160"/>
      <c r="E6" s="160"/>
      <c r="F6" s="161" t="s">
        <v>72</v>
      </c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9"/>
      <c r="T6" s="19"/>
      <c r="U6" s="23" t="s">
        <v>7</v>
      </c>
      <c r="V6" s="17">
        <v>79546239</v>
      </c>
      <c r="W6" s="95"/>
      <c r="X6" s="95"/>
    </row>
    <row r="7" spans="1:24" ht="15.75" customHeight="1">
      <c r="A7" s="160" t="s">
        <v>8</v>
      </c>
      <c r="B7" s="160"/>
      <c r="C7" s="160"/>
      <c r="D7" s="160"/>
      <c r="E7" s="160"/>
      <c r="F7" s="160"/>
      <c r="G7" s="160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20"/>
      <c r="U7" s="21" t="s">
        <v>9</v>
      </c>
      <c r="V7" s="17"/>
      <c r="W7" s="95"/>
      <c r="X7" s="95"/>
    </row>
    <row r="8" spans="1:24" ht="15.75" customHeight="1">
      <c r="A8" s="160" t="s">
        <v>10</v>
      </c>
      <c r="B8" s="160"/>
      <c r="C8" s="160"/>
      <c r="D8" s="160"/>
      <c r="E8" s="160"/>
      <c r="F8" s="160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22"/>
      <c r="V8" s="17"/>
      <c r="W8" s="95"/>
      <c r="X8" s="95"/>
    </row>
    <row r="9" spans="1:24" ht="13.5" customHeight="1" thickBot="1">
      <c r="A9" s="160" t="s">
        <v>11</v>
      </c>
      <c r="B9" s="160"/>
      <c r="C9" s="160"/>
      <c r="D9" s="160"/>
      <c r="E9" s="160"/>
      <c r="F9" s="160"/>
      <c r="G9" s="160"/>
      <c r="H9" s="160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24" t="s">
        <v>12</v>
      </c>
      <c r="V9" s="18" t="s">
        <v>13</v>
      </c>
      <c r="W9" s="94"/>
      <c r="X9" s="94"/>
    </row>
    <row r="10" spans="1:24" ht="8.25" customHeight="1">
      <c r="A10" s="10" t="s">
        <v>73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6.5" customHeight="1">
      <c r="A11" s="163" t="s">
        <v>14</v>
      </c>
      <c r="B11" s="163"/>
      <c r="C11" s="163"/>
      <c r="D11" s="11"/>
      <c r="E11" s="11"/>
      <c r="F11" s="11"/>
      <c r="G11" s="164" t="s">
        <v>115</v>
      </c>
      <c r="H11" s="164"/>
      <c r="I11" s="164"/>
      <c r="J11" s="164"/>
      <c r="K11" s="164"/>
      <c r="L11" s="164"/>
      <c r="M11" s="164"/>
      <c r="N11" s="164"/>
      <c r="O11" s="164"/>
      <c r="P11" s="164"/>
      <c r="Q11" s="11"/>
      <c r="R11" s="11"/>
      <c r="S11" s="144"/>
      <c r="T11" s="11"/>
      <c r="U11" s="11"/>
      <c r="V11" s="11"/>
      <c r="W11" s="11"/>
      <c r="X11" s="11"/>
    </row>
    <row r="12" spans="1:24" ht="6.75" customHeight="1" thickBot="1">
      <c r="A12" s="165" t="s">
        <v>73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42"/>
      <c r="X12" s="42"/>
    </row>
    <row r="13" spans="1:24" ht="18" customHeight="1">
      <c r="A13" s="166" t="s">
        <v>15</v>
      </c>
      <c r="B13" s="167"/>
      <c r="C13" s="167"/>
      <c r="D13" s="167"/>
      <c r="E13" s="167"/>
      <c r="F13" s="168"/>
      <c r="G13" s="172" t="s">
        <v>16</v>
      </c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6" t="s">
        <v>89</v>
      </c>
      <c r="S13" s="174" t="s">
        <v>17</v>
      </c>
      <c r="T13" s="175"/>
      <c r="U13" s="175"/>
      <c r="V13" s="175"/>
      <c r="W13" s="176" t="s">
        <v>98</v>
      </c>
      <c r="X13" s="176" t="s">
        <v>295</v>
      </c>
    </row>
    <row r="14" spans="1:24" ht="16.5" customHeight="1" thickBot="1">
      <c r="A14" s="169"/>
      <c r="B14" s="170"/>
      <c r="C14" s="170"/>
      <c r="D14" s="170"/>
      <c r="E14" s="170"/>
      <c r="F14" s="171"/>
      <c r="G14" s="173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69"/>
      <c r="S14" s="26" t="s">
        <v>18</v>
      </c>
      <c r="T14" s="27" t="s">
        <v>19</v>
      </c>
      <c r="U14" s="28" t="s">
        <v>20</v>
      </c>
      <c r="V14" s="28" t="s">
        <v>21</v>
      </c>
      <c r="W14" s="177"/>
      <c r="X14" s="153"/>
    </row>
    <row r="15" spans="1:24" ht="15.75" customHeight="1" thickBot="1">
      <c r="A15" s="154" t="s">
        <v>22</v>
      </c>
      <c r="B15" s="155"/>
      <c r="C15" s="155"/>
      <c r="D15" s="155"/>
      <c r="E15" s="155"/>
      <c r="F15" s="156"/>
      <c r="G15" s="149" t="s">
        <v>23</v>
      </c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66" t="s">
        <v>24</v>
      </c>
      <c r="S15" s="52" t="s">
        <v>25</v>
      </c>
      <c r="T15" s="40" t="s">
        <v>26</v>
      </c>
      <c r="U15" s="39" t="s">
        <v>27</v>
      </c>
      <c r="V15" s="39" t="s">
        <v>28</v>
      </c>
      <c r="W15" s="48" t="s">
        <v>90</v>
      </c>
      <c r="X15" s="48" t="s">
        <v>91</v>
      </c>
    </row>
    <row r="16" spans="1:25" s="5" customFormat="1" ht="16.5" customHeight="1">
      <c r="A16" s="150" t="s">
        <v>131</v>
      </c>
      <c r="B16" s="151"/>
      <c r="C16" s="151"/>
      <c r="D16" s="151"/>
      <c r="E16" s="151"/>
      <c r="F16" s="152"/>
      <c r="G16" s="145" t="s">
        <v>29</v>
      </c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54">
        <f>R17+R23+R39+R45+R49+R67+R107+R120+R152+R157+R178+R200+R89+R101+R81</f>
        <v>18196764.79</v>
      </c>
      <c r="S16" s="115">
        <f>S17+S23+S39+S45+S49+S67+S107+S120+S152+S157+S178+S200+S81+S89+S101</f>
        <v>5256654</v>
      </c>
      <c r="T16" s="116">
        <f>T17+T23+T39+T45+T49+T67+T107+T120+T152+T157+T178+T200+T81+T89+T101</f>
        <v>6931374.85</v>
      </c>
      <c r="U16" s="116">
        <f>U17+U23+U39+U45+U49+U67+U107+U120+U152+U157+U178+U200+U81+U89+U101</f>
        <v>4805958.94</v>
      </c>
      <c r="V16" s="115">
        <f>V17+V23+V39+V45+V49+V67+V107+V120+V152+V157+V178+V200+V101+V89+V81</f>
        <v>1202777</v>
      </c>
      <c r="W16" s="113">
        <f>W17+W23+W45+W49+W67+W120+W157+W178</f>
        <v>15010750</v>
      </c>
      <c r="X16" s="117">
        <f>X17+X23+X45+X49+X67+X120+X157+X178</f>
        <v>15462230</v>
      </c>
      <c r="Y16" s="29">
        <f>SUM(S16:V16)</f>
        <v>18196764.79</v>
      </c>
    </row>
    <row r="17" spans="1:25" s="4" customFormat="1" ht="30" customHeight="1">
      <c r="A17" s="147" t="s">
        <v>132</v>
      </c>
      <c r="B17" s="148"/>
      <c r="C17" s="148"/>
      <c r="D17" s="148"/>
      <c r="E17" s="148"/>
      <c r="F17" s="178"/>
      <c r="G17" s="179" t="s">
        <v>30</v>
      </c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38">
        <f>R19</f>
        <v>909340</v>
      </c>
      <c r="S17" s="69">
        <f>S19</f>
        <v>384900</v>
      </c>
      <c r="T17" s="30">
        <f>T19</f>
        <v>227108.75</v>
      </c>
      <c r="U17" s="30">
        <f>U19</f>
        <v>297331.25</v>
      </c>
      <c r="V17" s="69">
        <f>V19</f>
        <v>0</v>
      </c>
      <c r="W17" s="38">
        <f>W20</f>
        <v>828920</v>
      </c>
      <c r="X17" s="55">
        <f>X19</f>
        <v>831540</v>
      </c>
      <c r="Y17" s="29">
        <f>SUM(S17:V17)</f>
        <v>909340</v>
      </c>
    </row>
    <row r="18" spans="1:25" s="51" customFormat="1" ht="23.25" customHeight="1">
      <c r="A18" s="181" t="s">
        <v>133</v>
      </c>
      <c r="B18" s="182"/>
      <c r="C18" s="182"/>
      <c r="D18" s="182"/>
      <c r="E18" s="182"/>
      <c r="F18" s="49"/>
      <c r="G18" s="183" t="s">
        <v>92</v>
      </c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57">
        <f aca="true" t="shared" si="0" ref="R18:X19">R19</f>
        <v>909340</v>
      </c>
      <c r="S18" s="99">
        <f t="shared" si="0"/>
        <v>384900</v>
      </c>
      <c r="T18" s="53">
        <f t="shared" si="0"/>
        <v>227108.75</v>
      </c>
      <c r="U18" s="53">
        <f t="shared" si="0"/>
        <v>297331.25</v>
      </c>
      <c r="V18" s="99">
        <f t="shared" si="0"/>
        <v>0</v>
      </c>
      <c r="W18" s="57">
        <f t="shared" si="0"/>
        <v>828920</v>
      </c>
      <c r="X18" s="107">
        <f t="shared" si="0"/>
        <v>831540</v>
      </c>
      <c r="Y18" s="50"/>
    </row>
    <row r="19" spans="1:25" s="3" customFormat="1" ht="16.5" customHeight="1">
      <c r="A19" s="185" t="s">
        <v>134</v>
      </c>
      <c r="B19" s="186"/>
      <c r="C19" s="186"/>
      <c r="D19" s="186"/>
      <c r="E19" s="186"/>
      <c r="F19" s="187"/>
      <c r="G19" s="188" t="s">
        <v>31</v>
      </c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58">
        <f t="shared" si="0"/>
        <v>909340</v>
      </c>
      <c r="S19" s="103">
        <f t="shared" si="0"/>
        <v>384900</v>
      </c>
      <c r="T19" s="31">
        <f t="shared" si="0"/>
        <v>227108.75</v>
      </c>
      <c r="U19" s="31">
        <f t="shared" si="0"/>
        <v>297331.25</v>
      </c>
      <c r="V19" s="103">
        <f t="shared" si="0"/>
        <v>0</v>
      </c>
      <c r="W19" s="58">
        <f t="shared" si="0"/>
        <v>828920</v>
      </c>
      <c r="X19" s="108">
        <f t="shared" si="0"/>
        <v>831540</v>
      </c>
      <c r="Y19" s="29">
        <f>SUM(S19:V19)</f>
        <v>909340</v>
      </c>
    </row>
    <row r="20" spans="1:25" ht="16.5" customHeight="1">
      <c r="A20" s="190" t="s">
        <v>135</v>
      </c>
      <c r="B20" s="191"/>
      <c r="C20" s="191"/>
      <c r="D20" s="191"/>
      <c r="E20" s="191"/>
      <c r="F20" s="192"/>
      <c r="G20" s="193" t="s">
        <v>32</v>
      </c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59">
        <f>R21+R22</f>
        <v>909340</v>
      </c>
      <c r="S20" s="70">
        <f aca="true" t="shared" si="1" ref="S20:X20">S21+S22</f>
        <v>384900</v>
      </c>
      <c r="T20" s="32">
        <f t="shared" si="1"/>
        <v>227108.75</v>
      </c>
      <c r="U20" s="32">
        <f t="shared" si="1"/>
        <v>297331.25</v>
      </c>
      <c r="V20" s="70">
        <f t="shared" si="1"/>
        <v>0</v>
      </c>
      <c r="W20" s="59">
        <f t="shared" si="1"/>
        <v>828920</v>
      </c>
      <c r="X20" s="56">
        <f t="shared" si="1"/>
        <v>831540</v>
      </c>
      <c r="Y20" s="29">
        <f>SUM(S20:V20)</f>
        <v>909340</v>
      </c>
    </row>
    <row r="21" spans="1:25" ht="16.5" customHeight="1">
      <c r="A21" s="190" t="s">
        <v>136</v>
      </c>
      <c r="B21" s="191"/>
      <c r="C21" s="191"/>
      <c r="D21" s="191"/>
      <c r="E21" s="191"/>
      <c r="F21" s="192"/>
      <c r="G21" s="193" t="s">
        <v>33</v>
      </c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60">
        <f>SUM(S21:V21)</f>
        <v>732430</v>
      </c>
      <c r="S21" s="104">
        <f>285000+2430</f>
        <v>287430</v>
      </c>
      <c r="T21" s="33">
        <f>115000+50000+7223.31</f>
        <v>172223.31</v>
      </c>
      <c r="U21" s="33">
        <f>115000+65000-7223.31+100000</f>
        <v>272776.69</v>
      </c>
      <c r="V21" s="104">
        <f>115000-115000</f>
        <v>0</v>
      </c>
      <c r="W21" s="60">
        <v>635000</v>
      </c>
      <c r="X21" s="109">
        <v>640000</v>
      </c>
      <c r="Y21" s="29">
        <f>SUM(S21:V21)</f>
        <v>732430</v>
      </c>
    </row>
    <row r="22" spans="1:25" ht="16.5" customHeight="1">
      <c r="A22" s="190" t="s">
        <v>137</v>
      </c>
      <c r="B22" s="191"/>
      <c r="C22" s="191"/>
      <c r="D22" s="191"/>
      <c r="E22" s="191"/>
      <c r="F22" s="192"/>
      <c r="G22" s="193" t="s">
        <v>34</v>
      </c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60">
        <f>SUM(S22:V22)</f>
        <v>176910</v>
      </c>
      <c r="S22" s="104">
        <v>97470</v>
      </c>
      <c r="T22" s="33">
        <f>39330+10000+5555.44</f>
        <v>54885.44</v>
      </c>
      <c r="U22" s="33">
        <f>30110-5555.44</f>
        <v>24554.56</v>
      </c>
      <c r="V22" s="104">
        <f>10000-10000</f>
        <v>0</v>
      </c>
      <c r="W22" s="60">
        <v>193920</v>
      </c>
      <c r="X22" s="109">
        <v>191540</v>
      </c>
      <c r="Y22" s="29">
        <f>SUM(S22:V22)</f>
        <v>176910</v>
      </c>
    </row>
    <row r="23" spans="1:25" s="4" customFormat="1" ht="42.75" customHeight="1">
      <c r="A23" s="147" t="s">
        <v>138</v>
      </c>
      <c r="B23" s="148"/>
      <c r="C23" s="148"/>
      <c r="D23" s="148"/>
      <c r="E23" s="148"/>
      <c r="F23" s="178"/>
      <c r="G23" s="179" t="s">
        <v>35</v>
      </c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38">
        <f aca="true" t="shared" si="2" ref="R23:X23">R25</f>
        <v>6119036</v>
      </c>
      <c r="S23" s="69">
        <f t="shared" si="2"/>
        <v>1952269</v>
      </c>
      <c r="T23" s="30">
        <f t="shared" si="2"/>
        <v>2423871</v>
      </c>
      <c r="U23" s="30">
        <f t="shared" si="2"/>
        <v>1628663</v>
      </c>
      <c r="V23" s="69">
        <f t="shared" si="2"/>
        <v>114233</v>
      </c>
      <c r="W23" s="38">
        <f t="shared" si="2"/>
        <v>6166260</v>
      </c>
      <c r="X23" s="55">
        <f t="shared" si="2"/>
        <v>6186810</v>
      </c>
      <c r="Y23" s="29">
        <f>SUM(S23:V23)</f>
        <v>6119036</v>
      </c>
    </row>
    <row r="24" spans="1:25" s="51" customFormat="1" ht="24" customHeight="1">
      <c r="A24" s="181" t="s">
        <v>139</v>
      </c>
      <c r="B24" s="182"/>
      <c r="C24" s="182"/>
      <c r="D24" s="182"/>
      <c r="E24" s="182"/>
      <c r="F24" s="49"/>
      <c r="G24" s="183" t="s">
        <v>92</v>
      </c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57">
        <f>R25</f>
        <v>6119036</v>
      </c>
      <c r="S24" s="99">
        <f aca="true" t="shared" si="3" ref="S24:X25">S25</f>
        <v>1952269</v>
      </c>
      <c r="T24" s="53">
        <f t="shared" si="3"/>
        <v>2423871</v>
      </c>
      <c r="U24" s="53">
        <f t="shared" si="3"/>
        <v>1628663</v>
      </c>
      <c r="V24" s="99">
        <f t="shared" si="3"/>
        <v>114233</v>
      </c>
      <c r="W24" s="57">
        <f t="shared" si="3"/>
        <v>6166260</v>
      </c>
      <c r="X24" s="107">
        <f t="shared" si="3"/>
        <v>6186810</v>
      </c>
      <c r="Y24" s="50"/>
    </row>
    <row r="25" spans="1:25" s="3" customFormat="1" ht="16.5" customHeight="1">
      <c r="A25" s="185" t="s">
        <v>140</v>
      </c>
      <c r="B25" s="186"/>
      <c r="C25" s="186"/>
      <c r="D25" s="186"/>
      <c r="E25" s="186"/>
      <c r="F25" s="187"/>
      <c r="G25" s="188" t="s">
        <v>36</v>
      </c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58">
        <f>R26</f>
        <v>6119036</v>
      </c>
      <c r="S25" s="103">
        <f>S26</f>
        <v>1952269</v>
      </c>
      <c r="T25" s="31">
        <f>T26</f>
        <v>2423871</v>
      </c>
      <c r="U25" s="31">
        <f>U26</f>
        <v>1628663</v>
      </c>
      <c r="V25" s="103">
        <f>V26</f>
        <v>114233</v>
      </c>
      <c r="W25" s="58">
        <f t="shared" si="3"/>
        <v>6166260</v>
      </c>
      <c r="X25" s="108">
        <f t="shared" si="3"/>
        <v>6186810</v>
      </c>
      <c r="Y25" s="29">
        <f>SUM(S25:V25)</f>
        <v>6119036</v>
      </c>
    </row>
    <row r="26" spans="1:25" ht="16.5" customHeight="1">
      <c r="A26" s="190" t="s">
        <v>141</v>
      </c>
      <c r="B26" s="191"/>
      <c r="C26" s="191"/>
      <c r="D26" s="191"/>
      <c r="E26" s="191"/>
      <c r="F26" s="192"/>
      <c r="G26" s="193" t="s">
        <v>32</v>
      </c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59">
        <f>SUM(R27:R38)</f>
        <v>6119036</v>
      </c>
      <c r="S26" s="70">
        <f aca="true" t="shared" si="4" ref="S26:X26">SUM(S27:S38)</f>
        <v>1952269</v>
      </c>
      <c r="T26" s="32">
        <f t="shared" si="4"/>
        <v>2423871</v>
      </c>
      <c r="U26" s="32">
        <f t="shared" si="4"/>
        <v>1628663</v>
      </c>
      <c r="V26" s="70">
        <f t="shared" si="4"/>
        <v>114233</v>
      </c>
      <c r="W26" s="59">
        <f t="shared" si="4"/>
        <v>6166260</v>
      </c>
      <c r="X26" s="56">
        <f t="shared" si="4"/>
        <v>6186810</v>
      </c>
      <c r="Y26" s="29">
        <f>SUM(S26:V26)</f>
        <v>6119036</v>
      </c>
    </row>
    <row r="27" spans="1:25" ht="16.5" customHeight="1">
      <c r="A27" s="190" t="s">
        <v>142</v>
      </c>
      <c r="B27" s="191"/>
      <c r="C27" s="191"/>
      <c r="D27" s="191"/>
      <c r="E27" s="191"/>
      <c r="F27" s="192"/>
      <c r="G27" s="193" t="s">
        <v>33</v>
      </c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60">
        <f aca="true" t="shared" si="5" ref="R27:R38">SUM(S27:V27)</f>
        <v>4245156</v>
      </c>
      <c r="S27" s="104">
        <f>1250000+125156</f>
        <v>1375156</v>
      </c>
      <c r="T27" s="33">
        <f>1145000+600000</f>
        <v>1745000</v>
      </c>
      <c r="U27" s="33">
        <f>1000000+125000</f>
        <v>1125000</v>
      </c>
      <c r="V27" s="104">
        <f>725000-725000</f>
        <v>0</v>
      </c>
      <c r="W27" s="60">
        <v>4190000</v>
      </c>
      <c r="X27" s="109">
        <v>4200000</v>
      </c>
      <c r="Y27" s="29">
        <f>SUM(S27:X27)</f>
        <v>12635156</v>
      </c>
    </row>
    <row r="28" spans="1:25" ht="16.5" customHeight="1">
      <c r="A28" s="190" t="s">
        <v>143</v>
      </c>
      <c r="B28" s="191"/>
      <c r="C28" s="191"/>
      <c r="D28" s="191"/>
      <c r="E28" s="191"/>
      <c r="F28" s="192"/>
      <c r="G28" s="193" t="s">
        <v>37</v>
      </c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60">
        <f t="shared" si="5"/>
        <v>5000</v>
      </c>
      <c r="S28" s="104">
        <v>2500</v>
      </c>
      <c r="T28" s="33">
        <v>0</v>
      </c>
      <c r="U28" s="33">
        <v>2500</v>
      </c>
      <c r="V28" s="104">
        <v>0</v>
      </c>
      <c r="W28" s="60">
        <v>5000</v>
      </c>
      <c r="X28" s="109">
        <v>5000</v>
      </c>
      <c r="Y28" s="29">
        <f>SUM(S28:X28)</f>
        <v>15000</v>
      </c>
    </row>
    <row r="29" spans="1:25" ht="16.5" customHeight="1">
      <c r="A29" s="190" t="s">
        <v>144</v>
      </c>
      <c r="B29" s="191"/>
      <c r="C29" s="191"/>
      <c r="D29" s="191"/>
      <c r="E29" s="191"/>
      <c r="F29" s="192"/>
      <c r="G29" s="193" t="s">
        <v>34</v>
      </c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60">
        <f t="shared" si="5"/>
        <v>1350180</v>
      </c>
      <c r="S29" s="104">
        <v>427500</v>
      </c>
      <c r="T29" s="33">
        <f>394590+156000</f>
        <v>550590</v>
      </c>
      <c r="U29" s="33">
        <f>342000+30090</f>
        <v>372090</v>
      </c>
      <c r="V29" s="104">
        <f>186090-186090</f>
        <v>0</v>
      </c>
      <c r="W29" s="60">
        <v>1452560</v>
      </c>
      <c r="X29" s="109">
        <v>1463110</v>
      </c>
      <c r="Y29" s="29">
        <f>SUM(S29:X29)</f>
        <v>4265850</v>
      </c>
    </row>
    <row r="30" spans="1:25" ht="16.5" customHeight="1">
      <c r="A30" s="190" t="s">
        <v>145</v>
      </c>
      <c r="B30" s="191"/>
      <c r="C30" s="191"/>
      <c r="D30" s="191"/>
      <c r="E30" s="191"/>
      <c r="F30" s="192"/>
      <c r="G30" s="193" t="s">
        <v>38</v>
      </c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60">
        <f t="shared" si="5"/>
        <v>69000</v>
      </c>
      <c r="S30" s="104">
        <f>16000+5000</f>
        <v>21000</v>
      </c>
      <c r="T30" s="33">
        <v>16000</v>
      </c>
      <c r="U30" s="33">
        <v>16000</v>
      </c>
      <c r="V30" s="104">
        <v>16000</v>
      </c>
      <c r="W30" s="60">
        <v>64000</v>
      </c>
      <c r="X30" s="109">
        <v>64000</v>
      </c>
      <c r="Y30" s="29">
        <f>SUM(S30:X30)</f>
        <v>197000</v>
      </c>
    </row>
    <row r="31" spans="1:25" ht="16.5" customHeight="1" hidden="1">
      <c r="A31" s="190" t="s">
        <v>146</v>
      </c>
      <c r="B31" s="191"/>
      <c r="C31" s="191"/>
      <c r="D31" s="191"/>
      <c r="E31" s="191"/>
      <c r="F31" s="192"/>
      <c r="G31" s="193" t="s">
        <v>39</v>
      </c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60">
        <f t="shared" si="5"/>
        <v>0</v>
      </c>
      <c r="S31" s="104">
        <v>0</v>
      </c>
      <c r="T31" s="33">
        <v>0</v>
      </c>
      <c r="U31" s="33">
        <v>0</v>
      </c>
      <c r="V31" s="104">
        <v>0</v>
      </c>
      <c r="W31" s="60"/>
      <c r="X31" s="109"/>
      <c r="Y31" s="29">
        <f>SUM(S31:V31)</f>
        <v>0</v>
      </c>
    </row>
    <row r="32" spans="1:25" ht="16.5" customHeight="1" hidden="1">
      <c r="A32" s="190" t="s">
        <v>147</v>
      </c>
      <c r="B32" s="191"/>
      <c r="C32" s="191"/>
      <c r="D32" s="191"/>
      <c r="E32" s="191"/>
      <c r="F32" s="192"/>
      <c r="G32" s="193" t="s">
        <v>40</v>
      </c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60">
        <f t="shared" si="5"/>
        <v>0</v>
      </c>
      <c r="S32" s="104">
        <v>0</v>
      </c>
      <c r="T32" s="33">
        <v>0</v>
      </c>
      <c r="U32" s="33">
        <v>0</v>
      </c>
      <c r="V32" s="104">
        <v>0</v>
      </c>
      <c r="W32" s="60">
        <v>0</v>
      </c>
      <c r="X32" s="109">
        <v>0</v>
      </c>
      <c r="Y32" s="29">
        <f aca="true" t="shared" si="6" ref="Y32:Y38">SUM(S32:X32)</f>
        <v>0</v>
      </c>
    </row>
    <row r="33" spans="1:25" ht="16.5" customHeight="1">
      <c r="A33" s="190" t="s">
        <v>148</v>
      </c>
      <c r="B33" s="191"/>
      <c r="C33" s="191"/>
      <c r="D33" s="191"/>
      <c r="E33" s="191"/>
      <c r="F33" s="192"/>
      <c r="G33" s="193" t="s">
        <v>41</v>
      </c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60">
        <f t="shared" si="5"/>
        <v>40000</v>
      </c>
      <c r="S33" s="104">
        <v>10000</v>
      </c>
      <c r="T33" s="33">
        <v>10000</v>
      </c>
      <c r="U33" s="33">
        <v>10000</v>
      </c>
      <c r="V33" s="104">
        <v>10000</v>
      </c>
      <c r="W33" s="60">
        <v>40000</v>
      </c>
      <c r="X33" s="109">
        <v>40000</v>
      </c>
      <c r="Y33" s="29">
        <f t="shared" si="6"/>
        <v>120000</v>
      </c>
    </row>
    <row r="34" spans="1:25" ht="16.5" customHeight="1">
      <c r="A34" s="190" t="s">
        <v>149</v>
      </c>
      <c r="B34" s="191"/>
      <c r="C34" s="191"/>
      <c r="D34" s="191"/>
      <c r="E34" s="191"/>
      <c r="F34" s="192"/>
      <c r="G34" s="193" t="s">
        <v>42</v>
      </c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60">
        <f t="shared" si="5"/>
        <v>113000</v>
      </c>
      <c r="S34" s="104">
        <v>31750</v>
      </c>
      <c r="T34" s="33">
        <v>26750</v>
      </c>
      <c r="U34" s="33">
        <v>27750</v>
      </c>
      <c r="V34" s="104">
        <v>26750</v>
      </c>
      <c r="W34" s="60">
        <v>113000</v>
      </c>
      <c r="X34" s="109">
        <v>113000</v>
      </c>
      <c r="Y34" s="29">
        <f t="shared" si="6"/>
        <v>339000</v>
      </c>
    </row>
    <row r="35" spans="1:25" ht="16.5" customHeight="1" hidden="1">
      <c r="A35" s="190" t="s">
        <v>150</v>
      </c>
      <c r="B35" s="191"/>
      <c r="C35" s="191"/>
      <c r="D35" s="191"/>
      <c r="E35" s="191"/>
      <c r="F35" s="192"/>
      <c r="G35" s="193" t="s">
        <v>88</v>
      </c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60">
        <f>SUM(S35:V35)</f>
        <v>0</v>
      </c>
      <c r="S35" s="104">
        <v>0</v>
      </c>
      <c r="T35" s="33">
        <v>0</v>
      </c>
      <c r="U35" s="33">
        <v>0</v>
      </c>
      <c r="V35" s="104">
        <v>0</v>
      </c>
      <c r="W35" s="60">
        <v>0</v>
      </c>
      <c r="X35" s="109">
        <v>0</v>
      </c>
      <c r="Y35" s="29">
        <f t="shared" si="6"/>
        <v>0</v>
      </c>
    </row>
    <row r="36" spans="1:25" ht="16.5" customHeight="1">
      <c r="A36" s="190" t="s">
        <v>151</v>
      </c>
      <c r="B36" s="191"/>
      <c r="C36" s="191"/>
      <c r="D36" s="191"/>
      <c r="E36" s="191"/>
      <c r="F36" s="192"/>
      <c r="G36" s="193" t="s">
        <v>46</v>
      </c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60">
        <f>SUM(S36:V36)</f>
        <v>1700</v>
      </c>
      <c r="S36" s="104">
        <v>523</v>
      </c>
      <c r="T36" s="33">
        <v>531</v>
      </c>
      <c r="U36" s="33">
        <v>323</v>
      </c>
      <c r="V36" s="104">
        <v>323</v>
      </c>
      <c r="W36" s="60">
        <v>1700</v>
      </c>
      <c r="X36" s="109">
        <v>1700</v>
      </c>
      <c r="Y36" s="29">
        <f t="shared" si="6"/>
        <v>5100</v>
      </c>
    </row>
    <row r="37" spans="1:25" ht="16.5" customHeight="1">
      <c r="A37" s="190" t="s">
        <v>152</v>
      </c>
      <c r="B37" s="191"/>
      <c r="C37" s="191"/>
      <c r="D37" s="191"/>
      <c r="E37" s="191"/>
      <c r="F37" s="192"/>
      <c r="G37" s="193" t="s">
        <v>43</v>
      </c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60">
        <f t="shared" si="5"/>
        <v>8840</v>
      </c>
      <c r="S37" s="104">
        <f>8840</f>
        <v>8840</v>
      </c>
      <c r="T37" s="33">
        <v>0</v>
      </c>
      <c r="U37" s="33">
        <v>0</v>
      </c>
      <c r="V37" s="104">
        <v>0</v>
      </c>
      <c r="W37" s="60">
        <v>0</v>
      </c>
      <c r="X37" s="109">
        <v>0</v>
      </c>
      <c r="Y37" s="29">
        <f t="shared" si="6"/>
        <v>8840</v>
      </c>
    </row>
    <row r="38" spans="1:25" ht="16.5" customHeight="1">
      <c r="A38" s="190" t="s">
        <v>153</v>
      </c>
      <c r="B38" s="191"/>
      <c r="C38" s="191"/>
      <c r="D38" s="191"/>
      <c r="E38" s="191"/>
      <c r="F38" s="192"/>
      <c r="G38" s="195" t="s">
        <v>75</v>
      </c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60">
        <f t="shared" si="5"/>
        <v>286160</v>
      </c>
      <c r="S38" s="104">
        <v>75000</v>
      </c>
      <c r="T38" s="33">
        <v>75000</v>
      </c>
      <c r="U38" s="33">
        <v>75000</v>
      </c>
      <c r="V38" s="104">
        <f>75000-5000-8840</f>
        <v>61160</v>
      </c>
      <c r="W38" s="60">
        <v>300000</v>
      </c>
      <c r="X38" s="109">
        <v>300000</v>
      </c>
      <c r="Y38" s="29">
        <f t="shared" si="6"/>
        <v>886160</v>
      </c>
    </row>
    <row r="39" spans="1:25" s="4" customFormat="1" ht="17.25" customHeight="1" hidden="1">
      <c r="A39" s="147" t="s">
        <v>270</v>
      </c>
      <c r="B39" s="148"/>
      <c r="C39" s="148"/>
      <c r="D39" s="148"/>
      <c r="E39" s="148"/>
      <c r="F39" s="178"/>
      <c r="G39" s="197" t="s">
        <v>81</v>
      </c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38">
        <f>R40</f>
        <v>0</v>
      </c>
      <c r="S39" s="69">
        <f>S40</f>
        <v>0</v>
      </c>
      <c r="T39" s="30">
        <f>T40</f>
        <v>0</v>
      </c>
      <c r="U39" s="30">
        <f>U40</f>
        <v>0</v>
      </c>
      <c r="V39" s="69">
        <f>V40</f>
        <v>0</v>
      </c>
      <c r="W39" s="38"/>
      <c r="X39" s="55"/>
      <c r="Y39" s="29">
        <f aca="true" t="shared" si="7" ref="Y39:Y44">SUM(S39:V39)</f>
        <v>0</v>
      </c>
    </row>
    <row r="40" spans="1:25" s="3" customFormat="1" ht="16.5" customHeight="1" hidden="1">
      <c r="A40" s="185" t="s">
        <v>271</v>
      </c>
      <c r="B40" s="186"/>
      <c r="C40" s="186"/>
      <c r="D40" s="186"/>
      <c r="E40" s="186"/>
      <c r="F40" s="187"/>
      <c r="G40" s="199" t="s">
        <v>82</v>
      </c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58">
        <f>R41+R43</f>
        <v>0</v>
      </c>
      <c r="S40" s="103">
        <f>S41+S43</f>
        <v>0</v>
      </c>
      <c r="T40" s="31">
        <f>T41+T43</f>
        <v>0</v>
      </c>
      <c r="U40" s="31">
        <f>U41+U43</f>
        <v>0</v>
      </c>
      <c r="V40" s="103">
        <f>V41+V43</f>
        <v>0</v>
      </c>
      <c r="W40" s="58"/>
      <c r="X40" s="108"/>
      <c r="Y40" s="29">
        <f t="shared" si="7"/>
        <v>0</v>
      </c>
    </row>
    <row r="41" spans="1:25" ht="16.5" customHeight="1" hidden="1">
      <c r="A41" s="190" t="s">
        <v>272</v>
      </c>
      <c r="B41" s="191"/>
      <c r="C41" s="191"/>
      <c r="D41" s="191"/>
      <c r="E41" s="191"/>
      <c r="F41" s="192"/>
      <c r="G41" s="195" t="s">
        <v>32</v>
      </c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59">
        <f>R42</f>
        <v>0</v>
      </c>
      <c r="S41" s="70">
        <f>S42</f>
        <v>0</v>
      </c>
      <c r="T41" s="32">
        <f>T42</f>
        <v>0</v>
      </c>
      <c r="U41" s="32">
        <f>U42</f>
        <v>0</v>
      </c>
      <c r="V41" s="70">
        <f>V42</f>
        <v>0</v>
      </c>
      <c r="W41" s="59"/>
      <c r="X41" s="56"/>
      <c r="Y41" s="29">
        <f t="shared" si="7"/>
        <v>0</v>
      </c>
    </row>
    <row r="42" spans="1:25" ht="16.5" customHeight="1" hidden="1">
      <c r="A42" s="190" t="s">
        <v>273</v>
      </c>
      <c r="B42" s="191"/>
      <c r="C42" s="191"/>
      <c r="D42" s="191"/>
      <c r="E42" s="191"/>
      <c r="F42" s="192"/>
      <c r="G42" s="193" t="s">
        <v>76</v>
      </c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60">
        <f>SUM(S42:V42)</f>
        <v>0</v>
      </c>
      <c r="S42" s="104"/>
      <c r="T42" s="33"/>
      <c r="U42" s="33"/>
      <c r="V42" s="104"/>
      <c r="W42" s="60"/>
      <c r="X42" s="109"/>
      <c r="Y42" s="29">
        <f t="shared" si="7"/>
        <v>0</v>
      </c>
    </row>
    <row r="43" spans="1:25" ht="16.5" customHeight="1" hidden="1">
      <c r="A43" s="190" t="s">
        <v>275</v>
      </c>
      <c r="B43" s="191"/>
      <c r="C43" s="191"/>
      <c r="D43" s="191"/>
      <c r="E43" s="191"/>
      <c r="F43" s="192"/>
      <c r="G43" s="195" t="s">
        <v>32</v>
      </c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59">
        <f>R44</f>
        <v>0</v>
      </c>
      <c r="S43" s="70">
        <f>S44</f>
        <v>0</v>
      </c>
      <c r="T43" s="32">
        <f>T44</f>
        <v>0</v>
      </c>
      <c r="U43" s="32">
        <f>U44</f>
        <v>0</v>
      </c>
      <c r="V43" s="70">
        <f>V44</f>
        <v>0</v>
      </c>
      <c r="W43" s="59"/>
      <c r="X43" s="56"/>
      <c r="Y43" s="29">
        <f t="shared" si="7"/>
        <v>0</v>
      </c>
    </row>
    <row r="44" spans="1:25" ht="16.5" customHeight="1" hidden="1">
      <c r="A44" s="190" t="s">
        <v>274</v>
      </c>
      <c r="B44" s="191"/>
      <c r="C44" s="191"/>
      <c r="D44" s="191"/>
      <c r="E44" s="191"/>
      <c r="F44" s="192"/>
      <c r="G44" s="193" t="s">
        <v>76</v>
      </c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60">
        <f>SUM(S44:V44)</f>
        <v>0</v>
      </c>
      <c r="S44" s="104"/>
      <c r="T44" s="33"/>
      <c r="U44" s="33"/>
      <c r="V44" s="104"/>
      <c r="W44" s="60"/>
      <c r="X44" s="109"/>
      <c r="Y44" s="29">
        <f t="shared" si="7"/>
        <v>0</v>
      </c>
    </row>
    <row r="45" spans="1:25" s="4" customFormat="1" ht="16.5" customHeight="1">
      <c r="A45" s="147" t="s">
        <v>308</v>
      </c>
      <c r="B45" s="148"/>
      <c r="C45" s="148"/>
      <c r="D45" s="148"/>
      <c r="E45" s="148"/>
      <c r="F45" s="178"/>
      <c r="G45" s="179" t="s">
        <v>44</v>
      </c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38">
        <f aca="true" t="shared" si="8" ref="R45:S51">R46</f>
        <v>50000</v>
      </c>
      <c r="S45" s="69">
        <f t="shared" si="8"/>
        <v>0</v>
      </c>
      <c r="T45" s="30">
        <f aca="true" t="shared" si="9" ref="T45:U51">T46</f>
        <v>50000</v>
      </c>
      <c r="U45" s="30">
        <f t="shared" si="9"/>
        <v>0</v>
      </c>
      <c r="V45" s="69">
        <f aca="true" t="shared" si="10" ref="V45:X46">V46</f>
        <v>0</v>
      </c>
      <c r="W45" s="38">
        <f t="shared" si="10"/>
        <v>0</v>
      </c>
      <c r="X45" s="55">
        <f t="shared" si="10"/>
        <v>0</v>
      </c>
      <c r="Y45" s="29">
        <f>SUM(S45:V45)</f>
        <v>50000</v>
      </c>
    </row>
    <row r="46" spans="1:25" s="3" customFormat="1" ht="16.5" customHeight="1">
      <c r="A46" s="185" t="s">
        <v>310</v>
      </c>
      <c r="B46" s="186"/>
      <c r="C46" s="186"/>
      <c r="D46" s="186"/>
      <c r="E46" s="186"/>
      <c r="F46" s="187"/>
      <c r="G46" s="188" t="s">
        <v>45</v>
      </c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58">
        <f t="shared" si="8"/>
        <v>50000</v>
      </c>
      <c r="S46" s="103">
        <f t="shared" si="8"/>
        <v>0</v>
      </c>
      <c r="T46" s="31">
        <f t="shared" si="9"/>
        <v>50000</v>
      </c>
      <c r="U46" s="31">
        <f t="shared" si="9"/>
        <v>0</v>
      </c>
      <c r="V46" s="103">
        <f t="shared" si="10"/>
        <v>0</v>
      </c>
      <c r="W46" s="58">
        <f t="shared" si="10"/>
        <v>0</v>
      </c>
      <c r="X46" s="108">
        <f t="shared" si="10"/>
        <v>0</v>
      </c>
      <c r="Y46" s="29">
        <f>SUM(S46:V46)</f>
        <v>50000</v>
      </c>
    </row>
    <row r="47" spans="1:25" ht="16.5" customHeight="1">
      <c r="A47" s="190" t="s">
        <v>311</v>
      </c>
      <c r="B47" s="191"/>
      <c r="C47" s="191"/>
      <c r="D47" s="191"/>
      <c r="E47" s="191"/>
      <c r="F47" s="192"/>
      <c r="G47" s="193" t="s">
        <v>46</v>
      </c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59">
        <f t="shared" si="8"/>
        <v>50000</v>
      </c>
      <c r="S47" s="70">
        <f t="shared" si="8"/>
        <v>0</v>
      </c>
      <c r="T47" s="32">
        <f t="shared" si="9"/>
        <v>50000</v>
      </c>
      <c r="U47" s="32">
        <f t="shared" si="9"/>
        <v>0</v>
      </c>
      <c r="V47" s="70">
        <f>V48</f>
        <v>0</v>
      </c>
      <c r="W47" s="59">
        <v>0</v>
      </c>
      <c r="X47" s="56">
        <v>0</v>
      </c>
      <c r="Y47" s="29">
        <f>SUM(S47:V47)</f>
        <v>50000</v>
      </c>
    </row>
    <row r="48" spans="1:25" ht="16.5" customHeight="1">
      <c r="A48" s="190" t="s">
        <v>316</v>
      </c>
      <c r="B48" s="191"/>
      <c r="C48" s="191"/>
      <c r="D48" s="191"/>
      <c r="E48" s="191"/>
      <c r="F48" s="192"/>
      <c r="G48" s="193" t="s">
        <v>76</v>
      </c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60">
        <f>SUM(S48:V48)</f>
        <v>50000</v>
      </c>
      <c r="S48" s="104"/>
      <c r="T48" s="33">
        <v>50000</v>
      </c>
      <c r="U48" s="33"/>
      <c r="V48" s="104"/>
      <c r="W48" s="60"/>
      <c r="X48" s="109"/>
      <c r="Y48" s="29">
        <f>SUM(S48:V48)</f>
        <v>50000</v>
      </c>
    </row>
    <row r="49" spans="1:25" s="4" customFormat="1" ht="16.5" customHeight="1">
      <c r="A49" s="147" t="s">
        <v>116</v>
      </c>
      <c r="B49" s="148"/>
      <c r="C49" s="148"/>
      <c r="D49" s="148"/>
      <c r="E49" s="148"/>
      <c r="F49" s="178"/>
      <c r="G49" s="179" t="s">
        <v>84</v>
      </c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38">
        <f>R50+R58+R64+R55</f>
        <v>541359.34</v>
      </c>
      <c r="S49" s="69">
        <f aca="true" t="shared" si="11" ref="S49:X49">S50+S58+S64</f>
        <v>116400</v>
      </c>
      <c r="T49" s="30">
        <f>T50+T58+T64+T55</f>
        <v>294600</v>
      </c>
      <c r="U49" s="30">
        <f>U50+U58+U64+U55</f>
        <v>85931.34</v>
      </c>
      <c r="V49" s="69">
        <f t="shared" si="11"/>
        <v>44428</v>
      </c>
      <c r="W49" s="38">
        <f t="shared" si="11"/>
        <v>567000</v>
      </c>
      <c r="X49" s="55">
        <f t="shared" si="11"/>
        <v>973000</v>
      </c>
      <c r="Y49" s="29">
        <f>SUM(S49:V49)</f>
        <v>541359.34</v>
      </c>
    </row>
    <row r="50" spans="1:25" s="51" customFormat="1" ht="18.75" customHeight="1">
      <c r="A50" s="181" t="s">
        <v>117</v>
      </c>
      <c r="B50" s="182"/>
      <c r="C50" s="182"/>
      <c r="D50" s="182"/>
      <c r="E50" s="182"/>
      <c r="F50" s="49"/>
      <c r="G50" s="183" t="s">
        <v>93</v>
      </c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57">
        <f>R51</f>
        <v>13000</v>
      </c>
      <c r="S50" s="99">
        <f>S51</f>
        <v>0</v>
      </c>
      <c r="T50" s="53">
        <f aca="true" t="shared" si="12" ref="T50:X51">T51</f>
        <v>0</v>
      </c>
      <c r="U50" s="53">
        <f t="shared" si="12"/>
        <v>11572</v>
      </c>
      <c r="V50" s="99">
        <f t="shared" si="12"/>
        <v>1428</v>
      </c>
      <c r="W50" s="57">
        <f t="shared" si="12"/>
        <v>13000</v>
      </c>
      <c r="X50" s="107">
        <f t="shared" si="12"/>
        <v>13000</v>
      </c>
      <c r="Y50" s="50"/>
    </row>
    <row r="51" spans="1:25" s="3" customFormat="1" ht="16.5" customHeight="1">
      <c r="A51" s="185" t="s">
        <v>118</v>
      </c>
      <c r="B51" s="186"/>
      <c r="C51" s="186"/>
      <c r="D51" s="186"/>
      <c r="E51" s="186"/>
      <c r="F51" s="187"/>
      <c r="G51" s="188" t="s">
        <v>85</v>
      </c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58">
        <f t="shared" si="8"/>
        <v>13000</v>
      </c>
      <c r="S51" s="103">
        <f t="shared" si="8"/>
        <v>0</v>
      </c>
      <c r="T51" s="31">
        <f t="shared" si="9"/>
        <v>0</v>
      </c>
      <c r="U51" s="31">
        <f t="shared" si="9"/>
        <v>11572</v>
      </c>
      <c r="V51" s="103">
        <f>V52</f>
        <v>1428</v>
      </c>
      <c r="W51" s="58">
        <f t="shared" si="12"/>
        <v>13000</v>
      </c>
      <c r="X51" s="108">
        <f t="shared" si="12"/>
        <v>13000</v>
      </c>
      <c r="Y51" s="29">
        <f>SUM(S51:V51)</f>
        <v>13000</v>
      </c>
    </row>
    <row r="52" spans="1:25" ht="16.5" customHeight="1">
      <c r="A52" s="190" t="s">
        <v>119</v>
      </c>
      <c r="B52" s="191"/>
      <c r="C52" s="191"/>
      <c r="D52" s="191"/>
      <c r="E52" s="191"/>
      <c r="F52" s="192"/>
      <c r="G52" s="193" t="s">
        <v>32</v>
      </c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59">
        <f>SUM(R53:R54)</f>
        <v>13000</v>
      </c>
      <c r="S52" s="70">
        <f>SUM(S53:S54)</f>
        <v>0</v>
      </c>
      <c r="T52" s="32">
        <f>SUM(T53:T54)</f>
        <v>0</v>
      </c>
      <c r="U52" s="32">
        <f>SUM(U53:U54)</f>
        <v>11572</v>
      </c>
      <c r="V52" s="70">
        <f>SUM(V53:V54)</f>
        <v>1428</v>
      </c>
      <c r="W52" s="59">
        <f>W54</f>
        <v>13000</v>
      </c>
      <c r="X52" s="56">
        <f>X54</f>
        <v>13000</v>
      </c>
      <c r="Y52" s="29">
        <f>SUM(S52:V52)</f>
        <v>13000</v>
      </c>
    </row>
    <row r="53" spans="1:25" ht="16.5" customHeight="1">
      <c r="A53" s="190" t="s">
        <v>318</v>
      </c>
      <c r="B53" s="191"/>
      <c r="C53" s="191"/>
      <c r="D53" s="191"/>
      <c r="E53" s="191"/>
      <c r="F53" s="192"/>
      <c r="G53" s="193" t="s">
        <v>43</v>
      </c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60">
        <f>SUM(S53:V53)</f>
        <v>11572</v>
      </c>
      <c r="S53" s="104">
        <v>0</v>
      </c>
      <c r="T53" s="33">
        <v>0</v>
      </c>
      <c r="U53" s="33">
        <v>11572</v>
      </c>
      <c r="V53" s="104">
        <v>0</v>
      </c>
      <c r="W53" s="60"/>
      <c r="X53" s="109"/>
      <c r="Y53" s="29">
        <f>SUM(S53:X53)</f>
        <v>11572</v>
      </c>
    </row>
    <row r="54" spans="1:25" ht="16.5" customHeight="1">
      <c r="A54" s="190" t="s">
        <v>120</v>
      </c>
      <c r="B54" s="191"/>
      <c r="C54" s="191"/>
      <c r="D54" s="191"/>
      <c r="E54" s="191"/>
      <c r="F54" s="192"/>
      <c r="G54" s="195" t="s">
        <v>75</v>
      </c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60">
        <f>SUM(S54:V54)</f>
        <v>1428</v>
      </c>
      <c r="S54" s="104">
        <f>3250-3250</f>
        <v>0</v>
      </c>
      <c r="T54" s="33">
        <f>3250-3250</f>
        <v>0</v>
      </c>
      <c r="U54" s="33">
        <f>3250-3250</f>
        <v>0</v>
      </c>
      <c r="V54" s="104">
        <f>3250-1822</f>
        <v>1428</v>
      </c>
      <c r="W54" s="60">
        <v>13000</v>
      </c>
      <c r="X54" s="109">
        <v>13000</v>
      </c>
      <c r="Y54" s="29">
        <f>SUM(S54:X54)</f>
        <v>27428</v>
      </c>
    </row>
    <row r="55" spans="1:25" ht="16.5" customHeight="1">
      <c r="A55" s="185" t="s">
        <v>304</v>
      </c>
      <c r="B55" s="186"/>
      <c r="C55" s="186"/>
      <c r="D55" s="186"/>
      <c r="E55" s="186"/>
      <c r="F55" s="187"/>
      <c r="G55" s="199" t="s">
        <v>307</v>
      </c>
      <c r="H55" s="200"/>
      <c r="I55" s="200"/>
      <c r="J55" s="200"/>
      <c r="K55" s="200"/>
      <c r="L55" s="200"/>
      <c r="M55" s="200"/>
      <c r="N55" s="200"/>
      <c r="O55" s="200"/>
      <c r="P55" s="200"/>
      <c r="Q55" s="141"/>
      <c r="R55" s="58">
        <f>SUM(S55:V55)</f>
        <v>107000</v>
      </c>
      <c r="S55" s="103">
        <f>S56</f>
        <v>0</v>
      </c>
      <c r="T55" s="31">
        <f>T56</f>
        <v>100000</v>
      </c>
      <c r="U55" s="31">
        <f>U56</f>
        <v>7000</v>
      </c>
      <c r="V55" s="103">
        <f>V56</f>
        <v>0</v>
      </c>
      <c r="W55" s="58"/>
      <c r="X55" s="108"/>
      <c r="Y55" s="142"/>
    </row>
    <row r="56" spans="1:25" ht="16.5" customHeight="1">
      <c r="A56" s="190" t="s">
        <v>305</v>
      </c>
      <c r="B56" s="191"/>
      <c r="C56" s="191"/>
      <c r="D56" s="191"/>
      <c r="E56" s="191"/>
      <c r="F56" s="192"/>
      <c r="G56" s="195" t="s">
        <v>32</v>
      </c>
      <c r="H56" s="196"/>
      <c r="I56" s="196"/>
      <c r="J56" s="196"/>
      <c r="K56" s="196"/>
      <c r="L56" s="196"/>
      <c r="M56" s="196"/>
      <c r="N56" s="196"/>
      <c r="O56" s="196"/>
      <c r="P56" s="196"/>
      <c r="Q56" s="140"/>
      <c r="R56" s="59">
        <f>S56+T56+U56+V56</f>
        <v>107000</v>
      </c>
      <c r="S56" s="70"/>
      <c r="T56" s="32">
        <f>T57</f>
        <v>100000</v>
      </c>
      <c r="U56" s="32">
        <v>7000</v>
      </c>
      <c r="V56" s="70"/>
      <c r="W56" s="59"/>
      <c r="X56" s="56"/>
      <c r="Y56" s="143"/>
    </row>
    <row r="57" spans="1:25" ht="16.5" customHeight="1">
      <c r="A57" s="190" t="s">
        <v>306</v>
      </c>
      <c r="B57" s="191"/>
      <c r="C57" s="191"/>
      <c r="D57" s="191"/>
      <c r="E57" s="191"/>
      <c r="F57" s="192"/>
      <c r="G57" s="193" t="s">
        <v>37</v>
      </c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60">
        <f>S57+T57+U57+V57</f>
        <v>107000</v>
      </c>
      <c r="S57" s="104">
        <f>S56</f>
        <v>0</v>
      </c>
      <c r="T57" s="33">
        <v>100000</v>
      </c>
      <c r="U57" s="33">
        <f>U56</f>
        <v>7000</v>
      </c>
      <c r="V57" s="104">
        <f>V56</f>
        <v>0</v>
      </c>
      <c r="W57" s="60"/>
      <c r="X57" s="109"/>
      <c r="Y57" s="29"/>
    </row>
    <row r="58" spans="1:25" s="51" customFormat="1" ht="24" customHeight="1">
      <c r="A58" s="181" t="s">
        <v>124</v>
      </c>
      <c r="B58" s="182"/>
      <c r="C58" s="182"/>
      <c r="D58" s="182"/>
      <c r="E58" s="182"/>
      <c r="F58" s="49"/>
      <c r="G58" s="183" t="s">
        <v>130</v>
      </c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57">
        <f>R59</f>
        <v>421359.33999999997</v>
      </c>
      <c r="S58" s="99">
        <f aca="true" t="shared" si="13" ref="S58:X59">S59</f>
        <v>116400</v>
      </c>
      <c r="T58" s="53">
        <f t="shared" si="13"/>
        <v>194600</v>
      </c>
      <c r="U58" s="53">
        <f t="shared" si="13"/>
        <v>67359.34</v>
      </c>
      <c r="V58" s="99">
        <f t="shared" si="13"/>
        <v>43000</v>
      </c>
      <c r="W58" s="57">
        <f t="shared" si="13"/>
        <v>170000</v>
      </c>
      <c r="X58" s="107">
        <f t="shared" si="13"/>
        <v>170000</v>
      </c>
      <c r="Y58" s="50"/>
    </row>
    <row r="59" spans="1:25" s="3" customFormat="1" ht="16.5" customHeight="1">
      <c r="A59" s="185" t="s">
        <v>125</v>
      </c>
      <c r="B59" s="186"/>
      <c r="C59" s="186"/>
      <c r="D59" s="186"/>
      <c r="E59" s="186"/>
      <c r="F59" s="187"/>
      <c r="G59" s="188" t="s">
        <v>58</v>
      </c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58">
        <f>R60</f>
        <v>421359.33999999997</v>
      </c>
      <c r="S59" s="103">
        <f>S60</f>
        <v>116400</v>
      </c>
      <c r="T59" s="31">
        <f>T60</f>
        <v>194600</v>
      </c>
      <c r="U59" s="31">
        <f>U60</f>
        <v>67359.34</v>
      </c>
      <c r="V59" s="103">
        <f>V60</f>
        <v>43000</v>
      </c>
      <c r="W59" s="58">
        <f t="shared" si="13"/>
        <v>170000</v>
      </c>
      <c r="X59" s="108">
        <f t="shared" si="13"/>
        <v>170000</v>
      </c>
      <c r="Y59" s="29">
        <f>SUM(S59:V59)</f>
        <v>421359.33999999997</v>
      </c>
    </row>
    <row r="60" spans="1:25" ht="16.5" customHeight="1">
      <c r="A60" s="190" t="s">
        <v>126</v>
      </c>
      <c r="B60" s="191"/>
      <c r="C60" s="191"/>
      <c r="D60" s="191"/>
      <c r="E60" s="191"/>
      <c r="F60" s="192"/>
      <c r="G60" s="193" t="s">
        <v>32</v>
      </c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59">
        <f aca="true" t="shared" si="14" ref="R60:X60">SUM(R61:R63)</f>
        <v>421359.33999999997</v>
      </c>
      <c r="S60" s="70">
        <f t="shared" si="14"/>
        <v>116400</v>
      </c>
      <c r="T60" s="32">
        <f t="shared" si="14"/>
        <v>194600</v>
      </c>
      <c r="U60" s="32">
        <f t="shared" si="14"/>
        <v>67359.34</v>
      </c>
      <c r="V60" s="70">
        <f t="shared" si="14"/>
        <v>43000</v>
      </c>
      <c r="W60" s="59">
        <f t="shared" si="14"/>
        <v>170000</v>
      </c>
      <c r="X60" s="56">
        <f t="shared" si="14"/>
        <v>170000</v>
      </c>
      <c r="Y60" s="29">
        <f>SUM(S60:V60)</f>
        <v>421359.33999999997</v>
      </c>
    </row>
    <row r="61" spans="1:25" ht="16.5" customHeight="1">
      <c r="A61" s="190" t="s">
        <v>127</v>
      </c>
      <c r="B61" s="191"/>
      <c r="C61" s="191"/>
      <c r="D61" s="191"/>
      <c r="E61" s="191"/>
      <c r="F61" s="192"/>
      <c r="G61" s="193" t="s">
        <v>40</v>
      </c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60">
        <f>SUM(S61:V61)</f>
        <v>121000</v>
      </c>
      <c r="S61" s="104">
        <f>40000-9000</f>
        <v>31000</v>
      </c>
      <c r="T61" s="33">
        <v>31000</v>
      </c>
      <c r="U61" s="33">
        <v>19000</v>
      </c>
      <c r="V61" s="104">
        <v>40000</v>
      </c>
      <c r="W61" s="60">
        <v>130000</v>
      </c>
      <c r="X61" s="109">
        <v>130000</v>
      </c>
      <c r="Y61" s="29">
        <f>SUM(S61:X61)</f>
        <v>381000</v>
      </c>
    </row>
    <row r="62" spans="1:25" ht="16.5" customHeight="1">
      <c r="A62" s="190" t="s">
        <v>128</v>
      </c>
      <c r="B62" s="191"/>
      <c r="C62" s="191"/>
      <c r="D62" s="191"/>
      <c r="E62" s="191"/>
      <c r="F62" s="192"/>
      <c r="G62" s="193" t="s">
        <v>41</v>
      </c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60">
        <f>SUM(S62:V62)</f>
        <v>79229</v>
      </c>
      <c r="S62" s="104">
        <f>8400+30000-15000</f>
        <v>23400</v>
      </c>
      <c r="T62" s="33">
        <f>600+3000+33000</f>
        <v>36600</v>
      </c>
      <c r="U62" s="33">
        <f>3000+10000+3229</f>
        <v>16229</v>
      </c>
      <c r="V62" s="104">
        <f>3000</f>
        <v>3000</v>
      </c>
      <c r="W62" s="60">
        <v>9000</v>
      </c>
      <c r="X62" s="109">
        <v>9000</v>
      </c>
      <c r="Y62" s="29">
        <f>SUM(S62:X62)</f>
        <v>97229</v>
      </c>
    </row>
    <row r="63" spans="1:25" ht="16.5" customHeight="1">
      <c r="A63" s="190" t="s">
        <v>129</v>
      </c>
      <c r="B63" s="191"/>
      <c r="C63" s="191"/>
      <c r="D63" s="191"/>
      <c r="E63" s="191"/>
      <c r="F63" s="192"/>
      <c r="G63" s="193" t="s">
        <v>42</v>
      </c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60">
        <f>SUM(S63:V63)</f>
        <v>221130.34</v>
      </c>
      <c r="S63" s="104">
        <f>31000+16000+15000</f>
        <v>62000</v>
      </c>
      <c r="T63" s="33">
        <f>47000+80000</f>
        <v>127000</v>
      </c>
      <c r="U63" s="33">
        <f>35359.34-3229</f>
        <v>32130.339999999997</v>
      </c>
      <c r="V63" s="104"/>
      <c r="W63" s="60">
        <v>31000</v>
      </c>
      <c r="X63" s="109">
        <v>31000</v>
      </c>
      <c r="Y63" s="29">
        <f>SUM(S63:X63)</f>
        <v>283130.33999999997</v>
      </c>
    </row>
    <row r="64" spans="1:25" s="51" customFormat="1" ht="18.75" customHeight="1">
      <c r="A64" s="181" t="s">
        <v>121</v>
      </c>
      <c r="B64" s="182"/>
      <c r="C64" s="182"/>
      <c r="D64" s="182"/>
      <c r="E64" s="182"/>
      <c r="F64" s="49"/>
      <c r="G64" s="183" t="s">
        <v>94</v>
      </c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57">
        <f>R65</f>
        <v>0</v>
      </c>
      <c r="S64" s="99">
        <f aca="true" t="shared" si="15" ref="S64:V65">S65</f>
        <v>0</v>
      </c>
      <c r="T64" s="53">
        <f t="shared" si="15"/>
        <v>0</v>
      </c>
      <c r="U64" s="53">
        <f t="shared" si="15"/>
        <v>0</v>
      </c>
      <c r="V64" s="99">
        <f t="shared" si="15"/>
        <v>0</v>
      </c>
      <c r="W64" s="57">
        <f>W65</f>
        <v>384000</v>
      </c>
      <c r="X64" s="107">
        <f>X65</f>
        <v>790000</v>
      </c>
      <c r="Y64" s="50"/>
    </row>
    <row r="65" spans="1:25" ht="16.5" customHeight="1">
      <c r="A65" s="190" t="s">
        <v>122</v>
      </c>
      <c r="B65" s="191"/>
      <c r="C65" s="191"/>
      <c r="D65" s="191"/>
      <c r="E65" s="191"/>
      <c r="F65" s="44"/>
      <c r="G65" s="193" t="s">
        <v>94</v>
      </c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59">
        <f>R66</f>
        <v>0</v>
      </c>
      <c r="S65" s="70">
        <f t="shared" si="15"/>
        <v>0</v>
      </c>
      <c r="T65" s="32">
        <f t="shared" si="15"/>
        <v>0</v>
      </c>
      <c r="U65" s="32">
        <f t="shared" si="15"/>
        <v>0</v>
      </c>
      <c r="V65" s="70">
        <f t="shared" si="15"/>
        <v>0</v>
      </c>
      <c r="W65" s="59">
        <f>W66</f>
        <v>384000</v>
      </c>
      <c r="X65" s="56">
        <f>X66</f>
        <v>790000</v>
      </c>
      <c r="Y65" s="29"/>
    </row>
    <row r="66" spans="1:25" ht="16.5" customHeight="1">
      <c r="A66" s="190" t="s">
        <v>123</v>
      </c>
      <c r="B66" s="191"/>
      <c r="C66" s="191"/>
      <c r="D66" s="191"/>
      <c r="E66" s="191"/>
      <c r="F66" s="44"/>
      <c r="G66" s="193" t="s">
        <v>94</v>
      </c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60">
        <f>SUM(S66:V66)</f>
        <v>0</v>
      </c>
      <c r="S66" s="104">
        <v>0</v>
      </c>
      <c r="T66" s="33">
        <v>0</v>
      </c>
      <c r="U66" s="33">
        <v>0</v>
      </c>
      <c r="V66" s="104">
        <v>0</v>
      </c>
      <c r="W66" s="60">
        <v>384000</v>
      </c>
      <c r="X66" s="109">
        <v>790000</v>
      </c>
      <c r="Y66" s="29"/>
    </row>
    <row r="67" spans="1:25" s="4" customFormat="1" ht="16.5" customHeight="1">
      <c r="A67" s="147" t="s">
        <v>154</v>
      </c>
      <c r="B67" s="148"/>
      <c r="C67" s="148"/>
      <c r="D67" s="148"/>
      <c r="E67" s="148"/>
      <c r="F67" s="178"/>
      <c r="G67" s="179" t="s">
        <v>47</v>
      </c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38">
        <f aca="true" t="shared" si="16" ref="R67:X67">R69</f>
        <v>394600</v>
      </c>
      <c r="S67" s="69">
        <f t="shared" si="16"/>
        <v>90690</v>
      </c>
      <c r="T67" s="30">
        <f t="shared" si="16"/>
        <v>90190</v>
      </c>
      <c r="U67" s="30">
        <f t="shared" si="16"/>
        <v>107300</v>
      </c>
      <c r="V67" s="69">
        <f t="shared" si="16"/>
        <v>106420</v>
      </c>
      <c r="W67" s="38">
        <f t="shared" si="16"/>
        <v>398000</v>
      </c>
      <c r="X67" s="55">
        <f t="shared" si="16"/>
        <v>398000</v>
      </c>
      <c r="Y67" s="29">
        <f>SUM(S67:V67)</f>
        <v>394600</v>
      </c>
    </row>
    <row r="68" spans="1:25" s="51" customFormat="1" ht="16.5" customHeight="1">
      <c r="A68" s="181" t="s">
        <v>155</v>
      </c>
      <c r="B68" s="182"/>
      <c r="C68" s="182"/>
      <c r="D68" s="182"/>
      <c r="E68" s="182"/>
      <c r="F68" s="49"/>
      <c r="G68" s="183" t="s">
        <v>93</v>
      </c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57">
        <f>R69</f>
        <v>394600</v>
      </c>
      <c r="S68" s="99">
        <f aca="true" t="shared" si="17" ref="S68:X69">S69</f>
        <v>90690</v>
      </c>
      <c r="T68" s="53">
        <f t="shared" si="17"/>
        <v>90190</v>
      </c>
      <c r="U68" s="53">
        <f t="shared" si="17"/>
        <v>107300</v>
      </c>
      <c r="V68" s="99">
        <f t="shared" si="17"/>
        <v>106420</v>
      </c>
      <c r="W68" s="57">
        <f t="shared" si="17"/>
        <v>398000</v>
      </c>
      <c r="X68" s="107">
        <f t="shared" si="17"/>
        <v>398000</v>
      </c>
      <c r="Y68" s="50"/>
    </row>
    <row r="69" spans="1:25" s="3" customFormat="1" ht="26.25" customHeight="1">
      <c r="A69" s="185" t="s">
        <v>156</v>
      </c>
      <c r="B69" s="186"/>
      <c r="C69" s="186"/>
      <c r="D69" s="186"/>
      <c r="E69" s="186"/>
      <c r="F69" s="187"/>
      <c r="G69" s="188" t="s">
        <v>48</v>
      </c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58">
        <f>R70</f>
        <v>394600</v>
      </c>
      <c r="S69" s="103">
        <f>S70</f>
        <v>90690</v>
      </c>
      <c r="T69" s="31">
        <f>T70</f>
        <v>90190</v>
      </c>
      <c r="U69" s="31">
        <f>U70</f>
        <v>107300</v>
      </c>
      <c r="V69" s="103">
        <f>V70</f>
        <v>106420</v>
      </c>
      <c r="W69" s="58">
        <f t="shared" si="17"/>
        <v>398000</v>
      </c>
      <c r="X69" s="108">
        <f t="shared" si="17"/>
        <v>398000</v>
      </c>
      <c r="Y69" s="29">
        <f>SUM(S69:V69)</f>
        <v>394600</v>
      </c>
    </row>
    <row r="70" spans="1:25" ht="16.5" customHeight="1">
      <c r="A70" s="190" t="s">
        <v>157</v>
      </c>
      <c r="B70" s="191"/>
      <c r="C70" s="191"/>
      <c r="D70" s="191"/>
      <c r="E70" s="191"/>
      <c r="F70" s="192"/>
      <c r="G70" s="193" t="s">
        <v>32</v>
      </c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59">
        <f aca="true" t="shared" si="18" ref="R70:X70">SUM(R71:R80)</f>
        <v>394600</v>
      </c>
      <c r="S70" s="70">
        <f t="shared" si="18"/>
        <v>90690</v>
      </c>
      <c r="T70" s="32">
        <f t="shared" si="18"/>
        <v>90190</v>
      </c>
      <c r="U70" s="32">
        <f t="shared" si="18"/>
        <v>107300</v>
      </c>
      <c r="V70" s="70">
        <f t="shared" si="18"/>
        <v>106420</v>
      </c>
      <c r="W70" s="59">
        <f t="shared" si="18"/>
        <v>398000</v>
      </c>
      <c r="X70" s="56">
        <f t="shared" si="18"/>
        <v>398000</v>
      </c>
      <c r="Y70" s="29">
        <f>SUM(S70:V70)</f>
        <v>394600</v>
      </c>
    </row>
    <row r="71" spans="1:25" ht="16.5" customHeight="1">
      <c r="A71" s="190" t="s">
        <v>158</v>
      </c>
      <c r="B71" s="191"/>
      <c r="C71" s="191"/>
      <c r="D71" s="191"/>
      <c r="E71" s="191"/>
      <c r="F71" s="192"/>
      <c r="G71" s="193" t="s">
        <v>33</v>
      </c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60">
        <f>SUM(S71:V71)</f>
        <v>267500</v>
      </c>
      <c r="S71" s="104">
        <v>60500</v>
      </c>
      <c r="T71" s="33">
        <v>60500</v>
      </c>
      <c r="U71" s="33">
        <v>74000</v>
      </c>
      <c r="V71" s="104">
        <v>72500</v>
      </c>
      <c r="W71" s="60">
        <v>251000</v>
      </c>
      <c r="X71" s="109">
        <v>270000</v>
      </c>
      <c r="Y71" s="29">
        <f>SUM(S71:X71)</f>
        <v>788500</v>
      </c>
    </row>
    <row r="72" spans="1:25" ht="16.5" customHeight="1">
      <c r="A72" s="190" t="s">
        <v>159</v>
      </c>
      <c r="B72" s="191"/>
      <c r="C72" s="191"/>
      <c r="D72" s="191"/>
      <c r="E72" s="191"/>
      <c r="F72" s="192"/>
      <c r="G72" s="193" t="s">
        <v>37</v>
      </c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60">
        <f aca="true" t="shared" si="19" ref="R72:R80">SUM(S72:V72)</f>
        <v>0</v>
      </c>
      <c r="S72" s="104">
        <v>0</v>
      </c>
      <c r="T72" s="33">
        <v>0</v>
      </c>
      <c r="U72" s="33">
        <f>12500-12500</f>
        <v>0</v>
      </c>
      <c r="V72" s="104">
        <v>0</v>
      </c>
      <c r="W72" s="60">
        <v>25000</v>
      </c>
      <c r="X72" s="109">
        <v>0</v>
      </c>
      <c r="Y72" s="29">
        <f>SUM(S72:V72)</f>
        <v>0</v>
      </c>
    </row>
    <row r="73" spans="1:25" ht="16.5" customHeight="1">
      <c r="A73" s="190" t="s">
        <v>160</v>
      </c>
      <c r="B73" s="191"/>
      <c r="C73" s="191"/>
      <c r="D73" s="191"/>
      <c r="E73" s="191"/>
      <c r="F73" s="192"/>
      <c r="G73" s="193" t="s">
        <v>34</v>
      </c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60">
        <f t="shared" si="19"/>
        <v>91100</v>
      </c>
      <c r="S73" s="104">
        <v>20690</v>
      </c>
      <c r="T73" s="33">
        <v>20690</v>
      </c>
      <c r="U73" s="33">
        <v>25300</v>
      </c>
      <c r="V73" s="104">
        <v>24420</v>
      </c>
      <c r="W73" s="60">
        <v>86000</v>
      </c>
      <c r="X73" s="109">
        <v>92000</v>
      </c>
      <c r="Y73" s="29">
        <f>SUM(S73:W73)</f>
        <v>177100</v>
      </c>
    </row>
    <row r="74" spans="1:25" ht="16.5" customHeight="1">
      <c r="A74" s="190" t="s">
        <v>161</v>
      </c>
      <c r="B74" s="191"/>
      <c r="C74" s="191"/>
      <c r="D74" s="191"/>
      <c r="E74" s="191"/>
      <c r="F74" s="192"/>
      <c r="G74" s="193" t="s">
        <v>38</v>
      </c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60">
        <f t="shared" si="19"/>
        <v>8000</v>
      </c>
      <c r="S74" s="104">
        <v>2000</v>
      </c>
      <c r="T74" s="33">
        <v>2000</v>
      </c>
      <c r="U74" s="33">
        <v>2000</v>
      </c>
      <c r="V74" s="104">
        <v>2000</v>
      </c>
      <c r="W74" s="60">
        <v>8000</v>
      </c>
      <c r="X74" s="109">
        <v>8000</v>
      </c>
      <c r="Y74" s="29">
        <f>SUM(S74:W74)</f>
        <v>16000</v>
      </c>
    </row>
    <row r="75" spans="1:25" ht="16.5" customHeight="1" hidden="1">
      <c r="A75" s="190" t="s">
        <v>277</v>
      </c>
      <c r="B75" s="191"/>
      <c r="C75" s="191"/>
      <c r="D75" s="191"/>
      <c r="E75" s="191"/>
      <c r="F75" s="192"/>
      <c r="G75" s="193" t="s">
        <v>39</v>
      </c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60">
        <f t="shared" si="19"/>
        <v>0</v>
      </c>
      <c r="S75" s="104"/>
      <c r="T75" s="33"/>
      <c r="U75" s="33"/>
      <c r="V75" s="104"/>
      <c r="W75" s="60"/>
      <c r="X75" s="109"/>
      <c r="Y75" s="29">
        <f>SUM(S75:V75)</f>
        <v>0</v>
      </c>
    </row>
    <row r="76" spans="1:25" ht="16.5" customHeight="1">
      <c r="A76" s="190" t="s">
        <v>162</v>
      </c>
      <c r="B76" s="191"/>
      <c r="C76" s="191"/>
      <c r="D76" s="191"/>
      <c r="E76" s="191"/>
      <c r="F76" s="192"/>
      <c r="G76" s="193" t="s">
        <v>40</v>
      </c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60">
        <f t="shared" si="19"/>
        <v>8000</v>
      </c>
      <c r="S76" s="104">
        <v>2500</v>
      </c>
      <c r="T76" s="33">
        <v>2000</v>
      </c>
      <c r="U76" s="33">
        <v>1000</v>
      </c>
      <c r="V76" s="104">
        <v>2500</v>
      </c>
      <c r="W76" s="60">
        <v>8000</v>
      </c>
      <c r="X76" s="109">
        <v>8000</v>
      </c>
      <c r="Y76" s="29">
        <f>SUM(S76:W76)</f>
        <v>16000</v>
      </c>
    </row>
    <row r="77" spans="1:25" ht="16.5" customHeight="1">
      <c r="A77" s="190" t="s">
        <v>278</v>
      </c>
      <c r="B77" s="191"/>
      <c r="C77" s="191"/>
      <c r="D77" s="191"/>
      <c r="E77" s="191"/>
      <c r="F77" s="192"/>
      <c r="G77" s="193" t="s">
        <v>41</v>
      </c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60">
        <f>SUM(S77:V77)</f>
        <v>5000</v>
      </c>
      <c r="S77" s="104">
        <v>1500</v>
      </c>
      <c r="T77" s="33">
        <v>1000</v>
      </c>
      <c r="U77" s="33">
        <v>1000</v>
      </c>
      <c r="V77" s="104">
        <v>1500</v>
      </c>
      <c r="W77" s="60">
        <v>5000</v>
      </c>
      <c r="X77" s="109">
        <v>5000</v>
      </c>
      <c r="Y77" s="29">
        <f>SUM(S77:W77)</f>
        <v>10000</v>
      </c>
    </row>
    <row r="78" spans="1:25" ht="16.5" customHeight="1">
      <c r="A78" s="190" t="s">
        <v>163</v>
      </c>
      <c r="B78" s="191"/>
      <c r="C78" s="191"/>
      <c r="D78" s="191"/>
      <c r="E78" s="191"/>
      <c r="F78" s="192"/>
      <c r="G78" s="193" t="s">
        <v>42</v>
      </c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60">
        <f>SUM(S78:V78)</f>
        <v>5000</v>
      </c>
      <c r="S78" s="104">
        <v>1000</v>
      </c>
      <c r="T78" s="33">
        <v>1500</v>
      </c>
      <c r="U78" s="33">
        <v>1500</v>
      </c>
      <c r="V78" s="104">
        <v>1000</v>
      </c>
      <c r="W78" s="60">
        <v>5000</v>
      </c>
      <c r="X78" s="109">
        <v>5000</v>
      </c>
      <c r="Y78" s="29">
        <f>SUM(S78:W78)</f>
        <v>10000</v>
      </c>
    </row>
    <row r="79" spans="1:25" ht="16.5" customHeight="1" hidden="1">
      <c r="A79" s="190" t="s">
        <v>279</v>
      </c>
      <c r="B79" s="191"/>
      <c r="C79" s="191"/>
      <c r="D79" s="191"/>
      <c r="E79" s="191"/>
      <c r="F79" s="192"/>
      <c r="G79" s="193" t="s">
        <v>43</v>
      </c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60">
        <f t="shared" si="19"/>
        <v>0</v>
      </c>
      <c r="S79" s="104"/>
      <c r="T79" s="33"/>
      <c r="U79" s="33"/>
      <c r="V79" s="104"/>
      <c r="W79" s="60"/>
      <c r="X79" s="109"/>
      <c r="Y79" s="29">
        <f>SUM(S79:V79)</f>
        <v>0</v>
      </c>
    </row>
    <row r="80" spans="1:25" ht="16.5" customHeight="1">
      <c r="A80" s="190" t="s">
        <v>164</v>
      </c>
      <c r="B80" s="191"/>
      <c r="C80" s="191"/>
      <c r="D80" s="191"/>
      <c r="E80" s="191"/>
      <c r="F80" s="192"/>
      <c r="G80" s="195" t="s">
        <v>75</v>
      </c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60">
        <f t="shared" si="19"/>
        <v>10000</v>
      </c>
      <c r="S80" s="104">
        <v>2500</v>
      </c>
      <c r="T80" s="33">
        <v>2500</v>
      </c>
      <c r="U80" s="33">
        <v>2500</v>
      </c>
      <c r="V80" s="104">
        <v>2500</v>
      </c>
      <c r="W80" s="60">
        <v>10000</v>
      </c>
      <c r="X80" s="109">
        <v>10000</v>
      </c>
      <c r="Y80" s="29">
        <f>SUM(S80:W80)</f>
        <v>20000</v>
      </c>
    </row>
    <row r="81" spans="1:25" ht="16.5" customHeight="1">
      <c r="A81" s="147" t="s">
        <v>165</v>
      </c>
      <c r="B81" s="148"/>
      <c r="C81" s="148"/>
      <c r="D81" s="148"/>
      <c r="E81" s="148"/>
      <c r="F81" s="96"/>
      <c r="G81" s="197" t="s">
        <v>110</v>
      </c>
      <c r="H81" s="198"/>
      <c r="I81" s="198"/>
      <c r="J81" s="198"/>
      <c r="K81" s="198"/>
      <c r="L81" s="198"/>
      <c r="M81" s="198"/>
      <c r="N81" s="198"/>
      <c r="O81" s="198"/>
      <c r="P81" s="198"/>
      <c r="Q81" s="198"/>
      <c r="R81" s="38">
        <f aca="true" t="shared" si="20" ref="R81:X83">R82</f>
        <v>330000</v>
      </c>
      <c r="S81" s="69">
        <f t="shared" si="20"/>
        <v>0</v>
      </c>
      <c r="T81" s="30">
        <f t="shared" si="20"/>
        <v>34005.51</v>
      </c>
      <c r="U81" s="30">
        <f t="shared" si="20"/>
        <v>295994.49</v>
      </c>
      <c r="V81" s="69">
        <f t="shared" si="20"/>
        <v>0</v>
      </c>
      <c r="W81" s="38">
        <f t="shared" si="20"/>
        <v>0</v>
      </c>
      <c r="X81" s="55">
        <f t="shared" si="20"/>
        <v>0</v>
      </c>
      <c r="Y81" s="29"/>
    </row>
    <row r="82" spans="1:25" ht="24.75" customHeight="1">
      <c r="A82" s="181" t="s">
        <v>166</v>
      </c>
      <c r="B82" s="182"/>
      <c r="C82" s="182"/>
      <c r="D82" s="182"/>
      <c r="E82" s="182"/>
      <c r="F82" s="201"/>
      <c r="G82" s="202" t="s">
        <v>111</v>
      </c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57">
        <f t="shared" si="20"/>
        <v>330000</v>
      </c>
      <c r="S82" s="99">
        <f t="shared" si="20"/>
        <v>0</v>
      </c>
      <c r="T82" s="53">
        <f t="shared" si="20"/>
        <v>34005.51</v>
      </c>
      <c r="U82" s="53">
        <f t="shared" si="20"/>
        <v>295994.49</v>
      </c>
      <c r="V82" s="99">
        <f t="shared" si="20"/>
        <v>0</v>
      </c>
      <c r="W82" s="57">
        <f t="shared" si="20"/>
        <v>0</v>
      </c>
      <c r="X82" s="107">
        <f t="shared" si="20"/>
        <v>0</v>
      </c>
      <c r="Y82" s="29"/>
    </row>
    <row r="83" spans="1:25" ht="24.75" customHeight="1">
      <c r="A83" s="185" t="s">
        <v>167</v>
      </c>
      <c r="B83" s="186"/>
      <c r="C83" s="186"/>
      <c r="D83" s="186"/>
      <c r="E83" s="186"/>
      <c r="F83" s="97"/>
      <c r="G83" s="199" t="s">
        <v>112</v>
      </c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58">
        <f t="shared" si="20"/>
        <v>330000</v>
      </c>
      <c r="S83" s="103">
        <f t="shared" si="20"/>
        <v>0</v>
      </c>
      <c r="T83" s="31">
        <f t="shared" si="20"/>
        <v>34005.51</v>
      </c>
      <c r="U83" s="31">
        <f t="shared" si="20"/>
        <v>295994.49</v>
      </c>
      <c r="V83" s="103">
        <f t="shared" si="20"/>
        <v>0</v>
      </c>
      <c r="W83" s="58">
        <f t="shared" si="20"/>
        <v>0</v>
      </c>
      <c r="X83" s="108">
        <f t="shared" si="20"/>
        <v>0</v>
      </c>
      <c r="Y83" s="29"/>
    </row>
    <row r="84" spans="1:25" ht="16.5" customHeight="1">
      <c r="A84" s="190" t="s">
        <v>168</v>
      </c>
      <c r="B84" s="191"/>
      <c r="C84" s="191"/>
      <c r="D84" s="191"/>
      <c r="E84" s="191"/>
      <c r="F84" s="44"/>
      <c r="G84" s="195" t="s">
        <v>32</v>
      </c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59">
        <f>S84+T84+U84+V84</f>
        <v>330000</v>
      </c>
      <c r="S84" s="32">
        <f>S85+S86+S87+S88</f>
        <v>0</v>
      </c>
      <c r="T84" s="32">
        <f>T85+T86+T87+T88</f>
        <v>34005.51</v>
      </c>
      <c r="U84" s="32">
        <f>U85+U86+U87+U88</f>
        <v>295994.49</v>
      </c>
      <c r="V84" s="32">
        <f>V85+V86+V87+V88</f>
        <v>0</v>
      </c>
      <c r="W84" s="59">
        <f>W87+W86+W88+W85</f>
        <v>0</v>
      </c>
      <c r="X84" s="59">
        <f>X87+X86+X88+X85</f>
        <v>0</v>
      </c>
      <c r="Y84" s="29"/>
    </row>
    <row r="85" spans="1:25" ht="16.5" customHeight="1">
      <c r="A85" s="190" t="s">
        <v>309</v>
      </c>
      <c r="B85" s="191"/>
      <c r="C85" s="191"/>
      <c r="D85" s="191"/>
      <c r="E85" s="191"/>
      <c r="F85" s="44"/>
      <c r="G85" s="193" t="s">
        <v>41</v>
      </c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60">
        <f>S85+T85+U85+V85</f>
        <v>15424.43</v>
      </c>
      <c r="S85" s="104">
        <v>0</v>
      </c>
      <c r="T85" s="33">
        <v>0</v>
      </c>
      <c r="U85" s="33">
        <v>15424.43</v>
      </c>
      <c r="V85" s="104">
        <v>0</v>
      </c>
      <c r="W85" s="60">
        <v>0</v>
      </c>
      <c r="X85" s="109">
        <v>0</v>
      </c>
      <c r="Y85" s="29"/>
    </row>
    <row r="86" spans="1:25" ht="16.5" customHeight="1">
      <c r="A86" s="190" t="s">
        <v>315</v>
      </c>
      <c r="B86" s="191"/>
      <c r="C86" s="191"/>
      <c r="D86" s="191"/>
      <c r="E86" s="191"/>
      <c r="F86" s="44"/>
      <c r="G86" s="193" t="s">
        <v>42</v>
      </c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60">
        <f>S86+T86+U86+V86</f>
        <v>180570.06</v>
      </c>
      <c r="S86" s="104">
        <v>0</v>
      </c>
      <c r="T86" s="33">
        <f>60000+115000-175000</f>
        <v>0</v>
      </c>
      <c r="U86" s="33">
        <f>175000+6500-15424.43+14494.49</f>
        <v>180570.06</v>
      </c>
      <c r="V86" s="104">
        <v>0</v>
      </c>
      <c r="W86" s="60">
        <v>0</v>
      </c>
      <c r="X86" s="109">
        <v>0</v>
      </c>
      <c r="Y86" s="29"/>
    </row>
    <row r="87" spans="1:25" ht="16.5" customHeight="1">
      <c r="A87" s="190" t="s">
        <v>169</v>
      </c>
      <c r="B87" s="191"/>
      <c r="C87" s="191"/>
      <c r="D87" s="191"/>
      <c r="E87" s="191"/>
      <c r="F87" s="44"/>
      <c r="G87" s="193" t="s">
        <v>43</v>
      </c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60">
        <f>S87+T87+U87+V87</f>
        <v>10000</v>
      </c>
      <c r="S87" s="104">
        <v>0</v>
      </c>
      <c r="T87" s="33">
        <f>40000-15000-6500-8500</f>
        <v>10000</v>
      </c>
      <c r="U87" s="33">
        <v>0</v>
      </c>
      <c r="V87" s="104">
        <v>0</v>
      </c>
      <c r="W87" s="60">
        <v>0</v>
      </c>
      <c r="X87" s="109">
        <v>0</v>
      </c>
      <c r="Y87" s="29"/>
    </row>
    <row r="88" spans="1:25" ht="16.5" customHeight="1">
      <c r="A88" s="190" t="s">
        <v>170</v>
      </c>
      <c r="B88" s="191"/>
      <c r="C88" s="191"/>
      <c r="D88" s="191"/>
      <c r="E88" s="192"/>
      <c r="F88" s="193" t="s">
        <v>75</v>
      </c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60">
        <f>S88+T88+U88+V88</f>
        <v>124005.51000000001</v>
      </c>
      <c r="S88" s="104">
        <v>0</v>
      </c>
      <c r="T88" s="33">
        <f>50000-20000-5994.49</f>
        <v>24005.510000000002</v>
      </c>
      <c r="U88" s="33">
        <v>100000</v>
      </c>
      <c r="V88" s="104">
        <v>0</v>
      </c>
      <c r="W88" s="60">
        <v>0</v>
      </c>
      <c r="X88" s="109">
        <v>0</v>
      </c>
      <c r="Y88" s="29"/>
    </row>
    <row r="89" spans="1:25" s="74" customFormat="1" ht="26.25" customHeight="1">
      <c r="A89" s="204" t="s">
        <v>171</v>
      </c>
      <c r="B89" s="205"/>
      <c r="C89" s="205"/>
      <c r="D89" s="205"/>
      <c r="E89" s="205"/>
      <c r="F89" s="206"/>
      <c r="G89" s="207" t="s">
        <v>303</v>
      </c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90">
        <f aca="true" t="shared" si="21" ref="R89:X89">R90</f>
        <v>223873.45</v>
      </c>
      <c r="S89" s="71">
        <f t="shared" si="21"/>
        <v>34311.22</v>
      </c>
      <c r="T89" s="72">
        <f>T90</f>
        <v>103524.37</v>
      </c>
      <c r="U89" s="72">
        <f>U90</f>
        <v>86037.86</v>
      </c>
      <c r="V89" s="72">
        <f>V90</f>
        <v>0</v>
      </c>
      <c r="W89" s="90">
        <f t="shared" si="21"/>
        <v>0</v>
      </c>
      <c r="X89" s="110">
        <f t="shared" si="21"/>
        <v>0</v>
      </c>
      <c r="Y89" s="73">
        <f>SUM(S89:V89)</f>
        <v>223873.45</v>
      </c>
    </row>
    <row r="90" spans="1:25" s="79" customFormat="1" ht="16.5" customHeight="1" hidden="1">
      <c r="A90" s="209" t="s">
        <v>280</v>
      </c>
      <c r="B90" s="210"/>
      <c r="C90" s="210"/>
      <c r="D90" s="210"/>
      <c r="E90" s="210"/>
      <c r="F90" s="75"/>
      <c r="G90" s="211" t="s">
        <v>101</v>
      </c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91">
        <f aca="true" t="shared" si="22" ref="R90:X90">R91+R93+R95</f>
        <v>223873.45</v>
      </c>
      <c r="S90" s="76">
        <f t="shared" si="22"/>
        <v>34311.22</v>
      </c>
      <c r="T90" s="77">
        <f t="shared" si="22"/>
        <v>103524.37</v>
      </c>
      <c r="U90" s="77">
        <f>U91+U93+U95</f>
        <v>86037.86</v>
      </c>
      <c r="V90" s="77">
        <f>V91+V93+V95</f>
        <v>0</v>
      </c>
      <c r="W90" s="91">
        <f t="shared" si="22"/>
        <v>0</v>
      </c>
      <c r="X90" s="111">
        <f t="shared" si="22"/>
        <v>0</v>
      </c>
      <c r="Y90" s="78"/>
    </row>
    <row r="91" spans="1:25" s="79" customFormat="1" ht="23.25" customHeight="1" hidden="1">
      <c r="A91" s="209" t="s">
        <v>281</v>
      </c>
      <c r="B91" s="210"/>
      <c r="C91" s="210"/>
      <c r="D91" s="210"/>
      <c r="E91" s="210"/>
      <c r="F91" s="75"/>
      <c r="G91" s="211" t="s">
        <v>102</v>
      </c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91">
        <f aca="true" t="shared" si="23" ref="R91:X91">R92</f>
        <v>0</v>
      </c>
      <c r="S91" s="76">
        <f t="shared" si="23"/>
        <v>0</v>
      </c>
      <c r="T91" s="77">
        <f t="shared" si="23"/>
        <v>0</v>
      </c>
      <c r="U91" s="77">
        <f t="shared" si="23"/>
        <v>0</v>
      </c>
      <c r="V91" s="77">
        <f t="shared" si="23"/>
        <v>0</v>
      </c>
      <c r="W91" s="91">
        <f t="shared" si="23"/>
        <v>0</v>
      </c>
      <c r="X91" s="111">
        <f t="shared" si="23"/>
        <v>0</v>
      </c>
      <c r="Y91" s="78"/>
    </row>
    <row r="92" spans="1:25" s="83" customFormat="1" ht="16.5" customHeight="1" hidden="1">
      <c r="A92" s="213" t="s">
        <v>282</v>
      </c>
      <c r="B92" s="214"/>
      <c r="C92" s="214"/>
      <c r="D92" s="214"/>
      <c r="E92" s="214"/>
      <c r="F92" s="215"/>
      <c r="G92" s="216" t="s">
        <v>32</v>
      </c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92">
        <f>SUM(S92:V92)</f>
        <v>0</v>
      </c>
      <c r="S92" s="80">
        <v>0</v>
      </c>
      <c r="T92" s="81">
        <v>0</v>
      </c>
      <c r="U92" s="81">
        <v>0</v>
      </c>
      <c r="V92" s="81">
        <v>0</v>
      </c>
      <c r="W92" s="92">
        <v>0</v>
      </c>
      <c r="X92" s="112">
        <v>0</v>
      </c>
      <c r="Y92" s="82">
        <f>SUM(S92:V92)</f>
        <v>0</v>
      </c>
    </row>
    <row r="93" spans="1:25" s="79" customFormat="1" ht="23.25" customHeight="1" hidden="1">
      <c r="A93" s="209" t="s">
        <v>283</v>
      </c>
      <c r="B93" s="210"/>
      <c r="C93" s="210"/>
      <c r="D93" s="210"/>
      <c r="E93" s="210"/>
      <c r="F93" s="75"/>
      <c r="G93" s="211" t="s">
        <v>102</v>
      </c>
      <c r="H93" s="212"/>
      <c r="I93" s="212"/>
      <c r="J93" s="212"/>
      <c r="K93" s="212"/>
      <c r="L93" s="212"/>
      <c r="M93" s="212"/>
      <c r="N93" s="212"/>
      <c r="O93" s="212"/>
      <c r="P93" s="212"/>
      <c r="Q93" s="212"/>
      <c r="R93" s="91">
        <f aca="true" t="shared" si="24" ref="R93:X93">R94</f>
        <v>0</v>
      </c>
      <c r="S93" s="76">
        <f t="shared" si="24"/>
        <v>0</v>
      </c>
      <c r="T93" s="77">
        <f t="shared" si="24"/>
        <v>0</v>
      </c>
      <c r="U93" s="77">
        <f t="shared" si="24"/>
        <v>0</v>
      </c>
      <c r="V93" s="77">
        <f t="shared" si="24"/>
        <v>0</v>
      </c>
      <c r="W93" s="91">
        <f t="shared" si="24"/>
        <v>0</v>
      </c>
      <c r="X93" s="111">
        <f t="shared" si="24"/>
        <v>0</v>
      </c>
      <c r="Y93" s="78"/>
    </row>
    <row r="94" spans="1:25" s="83" customFormat="1" ht="16.5" customHeight="1" hidden="1">
      <c r="A94" s="213" t="s">
        <v>284</v>
      </c>
      <c r="B94" s="214"/>
      <c r="C94" s="214"/>
      <c r="D94" s="214"/>
      <c r="E94" s="214"/>
      <c r="F94" s="215"/>
      <c r="G94" s="216" t="s">
        <v>32</v>
      </c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92">
        <f>SUM(S94:V94)</f>
        <v>0</v>
      </c>
      <c r="S94" s="80">
        <v>0</v>
      </c>
      <c r="T94" s="81">
        <v>0</v>
      </c>
      <c r="U94" s="81">
        <v>0</v>
      </c>
      <c r="V94" s="81">
        <v>0</v>
      </c>
      <c r="W94" s="92">
        <v>0</v>
      </c>
      <c r="X94" s="112">
        <v>0</v>
      </c>
      <c r="Y94" s="82">
        <f>SUM(S94:V94)</f>
        <v>0</v>
      </c>
    </row>
    <row r="95" spans="1:25" s="79" customFormat="1" ht="23.25" customHeight="1">
      <c r="A95" s="209" t="s">
        <v>172</v>
      </c>
      <c r="B95" s="210"/>
      <c r="C95" s="210"/>
      <c r="D95" s="210"/>
      <c r="E95" s="210"/>
      <c r="F95" s="75"/>
      <c r="G95" s="211" t="s">
        <v>302</v>
      </c>
      <c r="H95" s="212"/>
      <c r="I95" s="212"/>
      <c r="J95" s="212"/>
      <c r="K95" s="212"/>
      <c r="L95" s="212"/>
      <c r="M95" s="212"/>
      <c r="N95" s="212"/>
      <c r="O95" s="212"/>
      <c r="P95" s="212"/>
      <c r="Q95" s="212"/>
      <c r="R95" s="91">
        <f>R96</f>
        <v>223873.45</v>
      </c>
      <c r="S95" s="76">
        <f>S96</f>
        <v>34311.22</v>
      </c>
      <c r="T95" s="77">
        <f>T96</f>
        <v>103524.37</v>
      </c>
      <c r="U95" s="77">
        <f>U96</f>
        <v>86037.86</v>
      </c>
      <c r="V95" s="77">
        <f>V96</f>
        <v>0</v>
      </c>
      <c r="W95" s="91">
        <f>W100</f>
        <v>0</v>
      </c>
      <c r="X95" s="111">
        <f>X100</f>
        <v>0</v>
      </c>
      <c r="Y95" s="78"/>
    </row>
    <row r="96" spans="1:25" s="83" customFormat="1" ht="16.5" customHeight="1">
      <c r="A96" s="213" t="s">
        <v>173</v>
      </c>
      <c r="B96" s="214"/>
      <c r="C96" s="214"/>
      <c r="D96" s="214"/>
      <c r="E96" s="214"/>
      <c r="F96" s="215"/>
      <c r="G96" s="216" t="s">
        <v>32</v>
      </c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59">
        <f>S96+T96+U96+V96</f>
        <v>223873.45</v>
      </c>
      <c r="S96" s="80">
        <f aca="true" t="shared" si="25" ref="S96:X96">SUM(S97:S100)</f>
        <v>34311.22</v>
      </c>
      <c r="T96" s="81">
        <f t="shared" si="25"/>
        <v>103524.37</v>
      </c>
      <c r="U96" s="81">
        <f t="shared" si="25"/>
        <v>86037.86</v>
      </c>
      <c r="V96" s="80">
        <f t="shared" si="25"/>
        <v>0</v>
      </c>
      <c r="W96" s="92">
        <f t="shared" si="25"/>
        <v>0</v>
      </c>
      <c r="X96" s="112">
        <f t="shared" si="25"/>
        <v>0</v>
      </c>
      <c r="Y96" s="82">
        <f>SUM(S96:V96)</f>
        <v>223873.45</v>
      </c>
    </row>
    <row r="97" spans="1:25" ht="16.5" customHeight="1">
      <c r="A97" s="213" t="s">
        <v>300</v>
      </c>
      <c r="B97" s="214"/>
      <c r="C97" s="214"/>
      <c r="D97" s="214"/>
      <c r="E97" s="214"/>
      <c r="F97" s="215"/>
      <c r="G97" s="193" t="s">
        <v>33</v>
      </c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60">
        <f>SUM(S97:V97)</f>
        <v>81596.67</v>
      </c>
      <c r="S97" s="104"/>
      <c r="T97" s="33">
        <v>28245</v>
      </c>
      <c r="U97" s="33">
        <v>53351.67</v>
      </c>
      <c r="V97" s="104"/>
      <c r="W97" s="60"/>
      <c r="X97" s="109"/>
      <c r="Y97" s="29">
        <f>SUM(S97:X97)</f>
        <v>81596.67</v>
      </c>
    </row>
    <row r="98" spans="1:25" ht="16.5" customHeight="1">
      <c r="A98" s="213" t="s">
        <v>301</v>
      </c>
      <c r="B98" s="214"/>
      <c r="C98" s="214"/>
      <c r="D98" s="214"/>
      <c r="E98" s="214"/>
      <c r="F98" s="215"/>
      <c r="G98" s="193" t="s">
        <v>34</v>
      </c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60">
        <f>SUM(S98:V98)</f>
        <v>27906.06</v>
      </c>
      <c r="S98" s="104"/>
      <c r="T98" s="33">
        <f>5869.31+3790.48</f>
        <v>9659.79</v>
      </c>
      <c r="U98" s="33">
        <v>18246.27</v>
      </c>
      <c r="V98" s="104"/>
      <c r="W98" s="60"/>
      <c r="X98" s="109"/>
      <c r="Y98" s="29">
        <f>SUM(S98:W98)</f>
        <v>27906.06</v>
      </c>
    </row>
    <row r="99" spans="1:25" s="83" customFormat="1" ht="16.5" customHeight="1">
      <c r="A99" s="213" t="s">
        <v>174</v>
      </c>
      <c r="B99" s="214"/>
      <c r="C99" s="214"/>
      <c r="D99" s="214"/>
      <c r="E99" s="214"/>
      <c r="F99" s="215"/>
      <c r="G99" s="193" t="s">
        <v>41</v>
      </c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93">
        <f>SUM(S99:V99)</f>
        <v>38122.850000000006</v>
      </c>
      <c r="S99" s="101">
        <v>11437.07</v>
      </c>
      <c r="T99" s="33">
        <f>9238.26+12634.22</f>
        <v>21872.48</v>
      </c>
      <c r="U99" s="33">
        <v>4813.3</v>
      </c>
      <c r="V99" s="104">
        <v>0</v>
      </c>
      <c r="W99" s="93">
        <v>0</v>
      </c>
      <c r="X99" s="100">
        <v>0</v>
      </c>
      <c r="Y99" s="82">
        <f>SUM(S99:V99)</f>
        <v>38122.850000000006</v>
      </c>
    </row>
    <row r="100" spans="1:25" s="83" customFormat="1" ht="16.5" customHeight="1">
      <c r="A100" s="213" t="s">
        <v>297</v>
      </c>
      <c r="B100" s="214"/>
      <c r="C100" s="214"/>
      <c r="D100" s="214"/>
      <c r="E100" s="214"/>
      <c r="F100" s="215"/>
      <c r="G100" s="193" t="s">
        <v>42</v>
      </c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93">
        <f>SUM(S100:V100)</f>
        <v>76247.87</v>
      </c>
      <c r="S100" s="101">
        <v>22874.15</v>
      </c>
      <c r="T100" s="33">
        <f>18476.53+25270.57</f>
        <v>43747.1</v>
      </c>
      <c r="U100" s="33">
        <v>9626.62</v>
      </c>
      <c r="V100" s="104">
        <v>0</v>
      </c>
      <c r="W100" s="93">
        <v>0</v>
      </c>
      <c r="X100" s="100">
        <v>0</v>
      </c>
      <c r="Y100" s="82">
        <f>SUM(S100:V100)</f>
        <v>76247.87</v>
      </c>
    </row>
    <row r="101" spans="1:25" ht="16.5" customHeight="1">
      <c r="A101" s="147" t="s">
        <v>245</v>
      </c>
      <c r="B101" s="148"/>
      <c r="C101" s="148"/>
      <c r="D101" s="148"/>
      <c r="E101" s="148"/>
      <c r="F101" s="96"/>
      <c r="G101" s="197" t="s">
        <v>110</v>
      </c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  <c r="R101" s="38">
        <f aca="true" t="shared" si="26" ref="R101:X103">R102</f>
        <v>198000</v>
      </c>
      <c r="S101" s="69">
        <f t="shared" si="26"/>
        <v>56000</v>
      </c>
      <c r="T101" s="30">
        <f t="shared" si="26"/>
        <v>64000</v>
      </c>
      <c r="U101" s="30">
        <f t="shared" si="26"/>
        <v>39000</v>
      </c>
      <c r="V101" s="69">
        <f t="shared" si="26"/>
        <v>39000</v>
      </c>
      <c r="W101" s="38">
        <f t="shared" si="26"/>
        <v>156000</v>
      </c>
      <c r="X101" s="55">
        <f t="shared" si="26"/>
        <v>156000</v>
      </c>
      <c r="Y101" s="29"/>
    </row>
    <row r="102" spans="1:25" ht="24.75" customHeight="1">
      <c r="A102" s="181" t="s">
        <v>246</v>
      </c>
      <c r="B102" s="182"/>
      <c r="C102" s="182"/>
      <c r="D102" s="182"/>
      <c r="E102" s="182"/>
      <c r="F102" s="201"/>
      <c r="G102" s="202" t="s">
        <v>252</v>
      </c>
      <c r="H102" s="203"/>
      <c r="I102" s="203"/>
      <c r="J102" s="203"/>
      <c r="K102" s="203"/>
      <c r="L102" s="203"/>
      <c r="M102" s="203"/>
      <c r="N102" s="203"/>
      <c r="O102" s="203"/>
      <c r="P102" s="203"/>
      <c r="Q102" s="203"/>
      <c r="R102" s="57">
        <f t="shared" si="26"/>
        <v>198000</v>
      </c>
      <c r="S102" s="99">
        <f t="shared" si="26"/>
        <v>56000</v>
      </c>
      <c r="T102" s="53">
        <f t="shared" si="26"/>
        <v>64000</v>
      </c>
      <c r="U102" s="53">
        <f t="shared" si="26"/>
        <v>39000</v>
      </c>
      <c r="V102" s="99">
        <f t="shared" si="26"/>
        <v>39000</v>
      </c>
      <c r="W102" s="57">
        <f t="shared" si="26"/>
        <v>156000</v>
      </c>
      <c r="X102" s="107">
        <f t="shared" si="26"/>
        <v>156000</v>
      </c>
      <c r="Y102" s="29"/>
    </row>
    <row r="103" spans="1:25" ht="24.75" customHeight="1">
      <c r="A103" s="185" t="s">
        <v>247</v>
      </c>
      <c r="B103" s="186"/>
      <c r="C103" s="186"/>
      <c r="D103" s="186"/>
      <c r="E103" s="186"/>
      <c r="F103" s="97"/>
      <c r="G103" s="199" t="s">
        <v>251</v>
      </c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58">
        <f t="shared" si="26"/>
        <v>198000</v>
      </c>
      <c r="S103" s="103">
        <f t="shared" si="26"/>
        <v>56000</v>
      </c>
      <c r="T103" s="31">
        <f t="shared" si="26"/>
        <v>64000</v>
      </c>
      <c r="U103" s="31">
        <f t="shared" si="26"/>
        <v>39000</v>
      </c>
      <c r="V103" s="103">
        <f t="shared" si="26"/>
        <v>39000</v>
      </c>
      <c r="W103" s="58">
        <f t="shared" si="26"/>
        <v>156000</v>
      </c>
      <c r="X103" s="108">
        <f t="shared" si="26"/>
        <v>156000</v>
      </c>
      <c r="Y103" s="29"/>
    </row>
    <row r="104" spans="1:25" ht="16.5" customHeight="1">
      <c r="A104" s="190" t="s">
        <v>248</v>
      </c>
      <c r="B104" s="191"/>
      <c r="C104" s="191"/>
      <c r="D104" s="191"/>
      <c r="E104" s="191"/>
      <c r="F104" s="44"/>
      <c r="G104" s="195" t="s">
        <v>32</v>
      </c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59">
        <f>S104+T104+U104+V104</f>
        <v>198000</v>
      </c>
      <c r="S104" s="70">
        <f aca="true" t="shared" si="27" ref="S104:X104">S105+S106</f>
        <v>56000</v>
      </c>
      <c r="T104" s="32">
        <f t="shared" si="27"/>
        <v>64000</v>
      </c>
      <c r="U104" s="32">
        <f t="shared" si="27"/>
        <v>39000</v>
      </c>
      <c r="V104" s="70">
        <f t="shared" si="27"/>
        <v>39000</v>
      </c>
      <c r="W104" s="59">
        <f t="shared" si="27"/>
        <v>156000</v>
      </c>
      <c r="X104" s="56">
        <f t="shared" si="27"/>
        <v>156000</v>
      </c>
      <c r="Y104" s="29"/>
    </row>
    <row r="105" spans="1:25" ht="16.5" customHeight="1">
      <c r="A105" s="190" t="s">
        <v>249</v>
      </c>
      <c r="B105" s="191"/>
      <c r="C105" s="191"/>
      <c r="D105" s="191"/>
      <c r="E105" s="191"/>
      <c r="F105" s="44"/>
      <c r="G105" s="193" t="s">
        <v>38</v>
      </c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60">
        <f>S105+T105+U105+V105</f>
        <v>36000</v>
      </c>
      <c r="S105" s="104">
        <v>9000</v>
      </c>
      <c r="T105" s="33">
        <v>9000</v>
      </c>
      <c r="U105" s="33">
        <v>9000</v>
      </c>
      <c r="V105" s="104">
        <v>9000</v>
      </c>
      <c r="W105" s="60">
        <v>36000</v>
      </c>
      <c r="X105" s="109">
        <v>36000</v>
      </c>
      <c r="Y105" s="29"/>
    </row>
    <row r="106" spans="1:25" ht="16.5" customHeight="1">
      <c r="A106" s="190" t="s">
        <v>250</v>
      </c>
      <c r="B106" s="191"/>
      <c r="C106" s="191"/>
      <c r="D106" s="191"/>
      <c r="E106" s="191"/>
      <c r="F106" s="44"/>
      <c r="G106" s="193" t="s">
        <v>42</v>
      </c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60">
        <f>S106+T106+U106+V106</f>
        <v>162000</v>
      </c>
      <c r="S106" s="104">
        <f>30000+25000-8000</f>
        <v>47000</v>
      </c>
      <c r="T106" s="33">
        <f>30000+25000</f>
        <v>55000</v>
      </c>
      <c r="U106" s="33">
        <v>30000</v>
      </c>
      <c r="V106" s="104">
        <v>30000</v>
      </c>
      <c r="W106" s="60">
        <v>120000</v>
      </c>
      <c r="X106" s="109">
        <v>120000</v>
      </c>
      <c r="Y106" s="29"/>
    </row>
    <row r="107" spans="1:25" s="4" customFormat="1" ht="15" customHeight="1">
      <c r="A107" s="147" t="s">
        <v>175</v>
      </c>
      <c r="B107" s="148"/>
      <c r="C107" s="148"/>
      <c r="D107" s="148"/>
      <c r="E107" s="148"/>
      <c r="F107" s="178"/>
      <c r="G107" s="179" t="s">
        <v>49</v>
      </c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38">
        <f>R108</f>
        <v>300870</v>
      </c>
      <c r="S107" s="69">
        <f aca="true" t="shared" si="28" ref="S107:X108">S108</f>
        <v>142124.39</v>
      </c>
      <c r="T107" s="30">
        <f t="shared" si="28"/>
        <v>113975.61</v>
      </c>
      <c r="U107" s="30">
        <f t="shared" si="28"/>
        <v>44770</v>
      </c>
      <c r="V107" s="69">
        <f t="shared" si="28"/>
        <v>0</v>
      </c>
      <c r="W107" s="38">
        <f t="shared" si="28"/>
        <v>165250</v>
      </c>
      <c r="X107" s="55">
        <f t="shared" si="28"/>
        <v>165770</v>
      </c>
      <c r="Y107" s="29">
        <f>SUM(S107:V107)</f>
        <v>300870</v>
      </c>
    </row>
    <row r="108" spans="1:25" s="3" customFormat="1" ht="13.5" customHeight="1">
      <c r="A108" s="185" t="s">
        <v>176</v>
      </c>
      <c r="B108" s="186"/>
      <c r="C108" s="186"/>
      <c r="D108" s="186"/>
      <c r="E108" s="186"/>
      <c r="F108" s="187"/>
      <c r="G108" s="188" t="s">
        <v>99</v>
      </c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58">
        <f>R109</f>
        <v>300870</v>
      </c>
      <c r="S108" s="103">
        <f t="shared" si="28"/>
        <v>142124.39</v>
      </c>
      <c r="T108" s="31">
        <f t="shared" si="28"/>
        <v>113975.61</v>
      </c>
      <c r="U108" s="31">
        <f t="shared" si="28"/>
        <v>44770</v>
      </c>
      <c r="V108" s="103">
        <f t="shared" si="28"/>
        <v>0</v>
      </c>
      <c r="W108" s="58">
        <f t="shared" si="28"/>
        <v>165250</v>
      </c>
      <c r="X108" s="108">
        <f t="shared" si="28"/>
        <v>165770</v>
      </c>
      <c r="Y108" s="29">
        <f>SUM(S108:V108)</f>
        <v>300870</v>
      </c>
    </row>
    <row r="109" spans="1:25" ht="15" customHeight="1">
      <c r="A109" s="190" t="s">
        <v>177</v>
      </c>
      <c r="B109" s="191"/>
      <c r="C109" s="191"/>
      <c r="D109" s="191"/>
      <c r="E109" s="191"/>
      <c r="F109" s="192"/>
      <c r="G109" s="193" t="s">
        <v>32</v>
      </c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59">
        <f>SUM(R110:R114)</f>
        <v>300870</v>
      </c>
      <c r="S109" s="118">
        <f aca="true" t="shared" si="29" ref="S109:X109">SUM(S110:S114)</f>
        <v>142124.39</v>
      </c>
      <c r="T109" s="32">
        <f t="shared" si="29"/>
        <v>113975.61</v>
      </c>
      <c r="U109" s="32">
        <f t="shared" si="29"/>
        <v>44770</v>
      </c>
      <c r="V109" s="56">
        <f t="shared" si="29"/>
        <v>0</v>
      </c>
      <c r="W109" s="59">
        <f t="shared" si="29"/>
        <v>165250</v>
      </c>
      <c r="X109" s="59">
        <f t="shared" si="29"/>
        <v>165770</v>
      </c>
      <c r="Y109" s="29">
        <f>SUM(S109:V109)</f>
        <v>300870</v>
      </c>
    </row>
    <row r="110" spans="1:25" ht="16.5" customHeight="1">
      <c r="A110" s="190" t="s">
        <v>178</v>
      </c>
      <c r="B110" s="191"/>
      <c r="C110" s="191"/>
      <c r="D110" s="191"/>
      <c r="E110" s="191"/>
      <c r="F110" s="192"/>
      <c r="G110" s="193" t="s">
        <v>41</v>
      </c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60">
        <f>SUM(S110:V110)</f>
        <v>116059.39</v>
      </c>
      <c r="S110" s="104">
        <f>20290+70000-20000-23685.61-24480</f>
        <v>22124.39</v>
      </c>
      <c r="T110" s="33">
        <f>20290+70000-12600-4045</f>
        <v>73645</v>
      </c>
      <c r="U110" s="33">
        <v>20290</v>
      </c>
      <c r="V110" s="104">
        <f>35000-35000</f>
        <v>0</v>
      </c>
      <c r="W110" s="60">
        <v>65250</v>
      </c>
      <c r="X110" s="109">
        <v>65770</v>
      </c>
      <c r="Y110" s="29">
        <f>SUM(S110:X110)</f>
        <v>247079.39</v>
      </c>
    </row>
    <row r="111" spans="1:25" ht="16.5" customHeight="1">
      <c r="A111" s="190" t="s">
        <v>179</v>
      </c>
      <c r="B111" s="191"/>
      <c r="C111" s="191"/>
      <c r="D111" s="191"/>
      <c r="E111" s="191"/>
      <c r="F111" s="192"/>
      <c r="G111" s="193" t="s">
        <v>42</v>
      </c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60">
        <f>SUM(S111:V111)</f>
        <v>124685.61</v>
      </c>
      <c r="S111" s="104">
        <f>33400+66600</f>
        <v>100000</v>
      </c>
      <c r="T111" s="33">
        <f>23685.61+1000</f>
        <v>24685.61</v>
      </c>
      <c r="U111" s="33">
        <f>33300-33300</f>
        <v>0</v>
      </c>
      <c r="V111" s="104">
        <v>0</v>
      </c>
      <c r="W111" s="60">
        <v>100000</v>
      </c>
      <c r="X111" s="109">
        <v>100000</v>
      </c>
      <c r="Y111" s="29">
        <f>SUM(S111:X111)</f>
        <v>324685.61</v>
      </c>
    </row>
    <row r="112" spans="1:25" ht="16.5" customHeight="1">
      <c r="A112" s="190" t="s">
        <v>298</v>
      </c>
      <c r="B112" s="191"/>
      <c r="C112" s="191"/>
      <c r="D112" s="191"/>
      <c r="E112" s="191"/>
      <c r="F112" s="192"/>
      <c r="G112" s="193" t="s">
        <v>76</v>
      </c>
      <c r="H112" s="194"/>
      <c r="I112" s="194"/>
      <c r="J112" s="194"/>
      <c r="K112" s="194"/>
      <c r="L112" s="194"/>
      <c r="M112" s="194"/>
      <c r="N112" s="194"/>
      <c r="O112" s="194"/>
      <c r="P112" s="194"/>
      <c r="Q112" s="249"/>
      <c r="R112" s="60">
        <f>SUM(S112:V112)</f>
        <v>20000</v>
      </c>
      <c r="S112" s="104">
        <f>20000</f>
        <v>20000</v>
      </c>
      <c r="T112" s="33">
        <v>0</v>
      </c>
      <c r="U112" s="33">
        <v>0</v>
      </c>
      <c r="V112" s="104">
        <v>0</v>
      </c>
      <c r="W112" s="60">
        <v>0</v>
      </c>
      <c r="X112" s="109">
        <v>0</v>
      </c>
      <c r="Y112" s="29">
        <f>SUM(S112:X112)</f>
        <v>20000</v>
      </c>
    </row>
    <row r="113" spans="1:25" ht="16.5" customHeight="1">
      <c r="A113" s="190" t="s">
        <v>180</v>
      </c>
      <c r="B113" s="191"/>
      <c r="C113" s="191"/>
      <c r="D113" s="191"/>
      <c r="E113" s="191"/>
      <c r="F113" s="192"/>
      <c r="G113" s="193" t="s">
        <v>43</v>
      </c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60">
        <f>SUM(S113:V113)</f>
        <v>15645</v>
      </c>
      <c r="S113" s="104">
        <v>0</v>
      </c>
      <c r="T113" s="33">
        <v>15645</v>
      </c>
      <c r="U113" s="33">
        <v>0</v>
      </c>
      <c r="V113" s="104">
        <v>0</v>
      </c>
      <c r="W113" s="60">
        <v>0</v>
      </c>
      <c r="X113" s="109">
        <v>0</v>
      </c>
      <c r="Y113" s="29">
        <f>SUM(S113:X113)</f>
        <v>15645</v>
      </c>
    </row>
    <row r="114" spans="1:25" ht="16.5" customHeight="1">
      <c r="A114" s="190" t="s">
        <v>181</v>
      </c>
      <c r="B114" s="191"/>
      <c r="C114" s="191"/>
      <c r="D114" s="191"/>
      <c r="E114" s="191"/>
      <c r="F114" s="192"/>
      <c r="G114" s="195" t="s">
        <v>75</v>
      </c>
      <c r="H114" s="196"/>
      <c r="I114" s="196"/>
      <c r="J114" s="196"/>
      <c r="K114" s="196"/>
      <c r="L114" s="196"/>
      <c r="M114" s="196"/>
      <c r="N114" s="196"/>
      <c r="O114" s="196"/>
      <c r="P114" s="196"/>
      <c r="Q114" s="196"/>
      <c r="R114" s="60">
        <f>SUM(S114:V114)</f>
        <v>24480</v>
      </c>
      <c r="S114" s="104">
        <v>0</v>
      </c>
      <c r="T114" s="33">
        <v>0</v>
      </c>
      <c r="U114" s="33">
        <v>24480</v>
      </c>
      <c r="V114" s="104">
        <v>0</v>
      </c>
      <c r="W114" s="60">
        <v>0</v>
      </c>
      <c r="X114" s="109">
        <v>0</v>
      </c>
      <c r="Y114" s="29">
        <f>SUM(S114:X114)</f>
        <v>24480</v>
      </c>
    </row>
    <row r="115" spans="1:25" s="4" customFormat="1" ht="15.75" customHeight="1" hidden="1">
      <c r="A115" s="147" t="s">
        <v>182</v>
      </c>
      <c r="B115" s="148"/>
      <c r="C115" s="148"/>
      <c r="D115" s="148"/>
      <c r="E115" s="148"/>
      <c r="F115" s="178"/>
      <c r="G115" s="179" t="s">
        <v>104</v>
      </c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38">
        <f>R116</f>
        <v>0</v>
      </c>
      <c r="S115" s="69">
        <f aca="true" t="shared" si="30" ref="S115:X115">S116</f>
        <v>0</v>
      </c>
      <c r="T115" s="30">
        <f t="shared" si="30"/>
        <v>0</v>
      </c>
      <c r="U115" s="30">
        <f t="shared" si="30"/>
        <v>0</v>
      </c>
      <c r="V115" s="69">
        <f t="shared" si="30"/>
        <v>0</v>
      </c>
      <c r="W115" s="38">
        <f t="shared" si="30"/>
        <v>0</v>
      </c>
      <c r="X115" s="55">
        <f t="shared" si="30"/>
        <v>0</v>
      </c>
      <c r="Y115" s="29">
        <f>SUM(S115:V115)</f>
        <v>0</v>
      </c>
    </row>
    <row r="116" spans="1:25" s="3" customFormat="1" ht="15.75" customHeight="1" hidden="1">
      <c r="A116" s="181" t="s">
        <v>183</v>
      </c>
      <c r="B116" s="182"/>
      <c r="C116" s="182"/>
      <c r="D116" s="182"/>
      <c r="E116" s="182"/>
      <c r="F116" s="201"/>
      <c r="G116" s="183" t="s">
        <v>109</v>
      </c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57">
        <f>R117</f>
        <v>0</v>
      </c>
      <c r="S116" s="99">
        <f aca="true" t="shared" si="31" ref="S116:X117">S117</f>
        <v>0</v>
      </c>
      <c r="T116" s="53">
        <f t="shared" si="31"/>
        <v>0</v>
      </c>
      <c r="U116" s="53">
        <f t="shared" si="31"/>
        <v>0</v>
      </c>
      <c r="V116" s="99">
        <f t="shared" si="31"/>
        <v>0</v>
      </c>
      <c r="W116" s="57">
        <f t="shared" si="31"/>
        <v>0</v>
      </c>
      <c r="X116" s="107">
        <f t="shared" si="31"/>
        <v>0</v>
      </c>
      <c r="Y116" s="29">
        <f>SUM(S116:V116)</f>
        <v>0</v>
      </c>
    </row>
    <row r="117" spans="1:25" s="3" customFormat="1" ht="13.5" customHeight="1" hidden="1">
      <c r="A117" s="185" t="s">
        <v>184</v>
      </c>
      <c r="B117" s="186"/>
      <c r="C117" s="186"/>
      <c r="D117" s="186"/>
      <c r="E117" s="186"/>
      <c r="F117" s="187"/>
      <c r="G117" s="188" t="s">
        <v>105</v>
      </c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58">
        <f>R118</f>
        <v>0</v>
      </c>
      <c r="S117" s="103">
        <f t="shared" si="31"/>
        <v>0</v>
      </c>
      <c r="T117" s="31">
        <f t="shared" si="31"/>
        <v>0</v>
      </c>
      <c r="U117" s="31">
        <f t="shared" si="31"/>
        <v>0</v>
      </c>
      <c r="V117" s="103">
        <f t="shared" si="31"/>
        <v>0</v>
      </c>
      <c r="W117" s="58">
        <f t="shared" si="31"/>
        <v>0</v>
      </c>
      <c r="X117" s="108">
        <f t="shared" si="31"/>
        <v>0</v>
      </c>
      <c r="Y117" s="29">
        <f>SUM(S117:V117)</f>
        <v>0</v>
      </c>
    </row>
    <row r="118" spans="1:25" ht="15" customHeight="1" hidden="1">
      <c r="A118" s="190" t="s">
        <v>185</v>
      </c>
      <c r="B118" s="191"/>
      <c r="C118" s="191"/>
      <c r="D118" s="191"/>
      <c r="E118" s="191"/>
      <c r="F118" s="192"/>
      <c r="G118" s="193" t="s">
        <v>106</v>
      </c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59">
        <f aca="true" t="shared" si="32" ref="R118:X118">SUM(R119:R119)</f>
        <v>0</v>
      </c>
      <c r="S118" s="70">
        <f t="shared" si="32"/>
        <v>0</v>
      </c>
      <c r="T118" s="32">
        <f t="shared" si="32"/>
        <v>0</v>
      </c>
      <c r="U118" s="32">
        <f t="shared" si="32"/>
        <v>0</v>
      </c>
      <c r="V118" s="70">
        <f t="shared" si="32"/>
        <v>0</v>
      </c>
      <c r="W118" s="59">
        <f t="shared" si="32"/>
        <v>0</v>
      </c>
      <c r="X118" s="56">
        <f t="shared" si="32"/>
        <v>0</v>
      </c>
      <c r="Y118" s="29">
        <f>SUM(S118:V118)</f>
        <v>0</v>
      </c>
    </row>
    <row r="119" spans="1:25" ht="24.75" customHeight="1" hidden="1">
      <c r="A119" s="190" t="s">
        <v>186</v>
      </c>
      <c r="B119" s="191"/>
      <c r="C119" s="191"/>
      <c r="D119" s="191"/>
      <c r="E119" s="191"/>
      <c r="F119" s="192"/>
      <c r="G119" s="193" t="s">
        <v>108</v>
      </c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60">
        <f>SUM(S119:V119)</f>
        <v>0</v>
      </c>
      <c r="S119" s="104"/>
      <c r="T119" s="33"/>
      <c r="U119" s="33"/>
      <c r="V119" s="104"/>
      <c r="W119" s="60">
        <v>0</v>
      </c>
      <c r="X119" s="109">
        <v>0</v>
      </c>
      <c r="Y119" s="29">
        <f>SUM(S119:X119)</f>
        <v>0</v>
      </c>
    </row>
    <row r="120" spans="1:25" s="4" customFormat="1" ht="16.5" customHeight="1">
      <c r="A120" s="147" t="s">
        <v>187</v>
      </c>
      <c r="B120" s="148"/>
      <c r="C120" s="148"/>
      <c r="D120" s="148"/>
      <c r="E120" s="148"/>
      <c r="F120" s="178"/>
      <c r="G120" s="179" t="s">
        <v>51</v>
      </c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38">
        <f aca="true" t="shared" si="33" ref="R120:X120">R122+R129+R135+R138+R144</f>
        <v>2150000</v>
      </c>
      <c r="S120" s="69">
        <f t="shared" si="33"/>
        <v>563719.39</v>
      </c>
      <c r="T120" s="30">
        <f t="shared" si="33"/>
        <v>1136201.28</v>
      </c>
      <c r="U120" s="30">
        <f t="shared" si="33"/>
        <v>387429.32999999996</v>
      </c>
      <c r="V120" s="69">
        <f t="shared" si="33"/>
        <v>62650</v>
      </c>
      <c r="W120" s="38">
        <f t="shared" si="33"/>
        <v>1510110</v>
      </c>
      <c r="X120" s="55">
        <f t="shared" si="33"/>
        <v>1514890</v>
      </c>
      <c r="Y120" s="29">
        <f>SUM(S120:V120)</f>
        <v>2150000</v>
      </c>
    </row>
    <row r="121" spans="1:25" s="51" customFormat="1" ht="16.5" customHeight="1">
      <c r="A121" s="181" t="s">
        <v>190</v>
      </c>
      <c r="B121" s="182"/>
      <c r="C121" s="182"/>
      <c r="D121" s="182"/>
      <c r="E121" s="182"/>
      <c r="F121" s="49"/>
      <c r="G121" s="183" t="s">
        <v>51</v>
      </c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57">
        <f>R120</f>
        <v>2150000</v>
      </c>
      <c r="S121" s="99">
        <f aca="true" t="shared" si="34" ref="S121:X121">S120</f>
        <v>563719.39</v>
      </c>
      <c r="T121" s="53">
        <f t="shared" si="34"/>
        <v>1136201.28</v>
      </c>
      <c r="U121" s="53">
        <f t="shared" si="34"/>
        <v>387429.32999999996</v>
      </c>
      <c r="V121" s="99">
        <f t="shared" si="34"/>
        <v>62650</v>
      </c>
      <c r="W121" s="57">
        <f t="shared" si="34"/>
        <v>1510110</v>
      </c>
      <c r="X121" s="107">
        <f t="shared" si="34"/>
        <v>1514890</v>
      </c>
      <c r="Y121" s="50"/>
    </row>
    <row r="122" spans="1:25" s="3" customFormat="1" ht="16.5" customHeight="1">
      <c r="A122" s="185" t="s">
        <v>189</v>
      </c>
      <c r="B122" s="186"/>
      <c r="C122" s="186"/>
      <c r="D122" s="186"/>
      <c r="E122" s="186"/>
      <c r="F122" s="187"/>
      <c r="G122" s="188" t="s">
        <v>52</v>
      </c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58">
        <f>R123</f>
        <v>1013930</v>
      </c>
      <c r="S122" s="103">
        <f aca="true" t="shared" si="35" ref="S122:X122">S123</f>
        <v>372000</v>
      </c>
      <c r="T122" s="31">
        <f t="shared" si="35"/>
        <v>491930</v>
      </c>
      <c r="U122" s="31">
        <f t="shared" si="35"/>
        <v>100000</v>
      </c>
      <c r="V122" s="103">
        <f t="shared" si="35"/>
        <v>50000</v>
      </c>
      <c r="W122" s="58">
        <f t="shared" si="35"/>
        <v>866950</v>
      </c>
      <c r="X122" s="108">
        <f t="shared" si="35"/>
        <v>869700</v>
      </c>
      <c r="Y122" s="29">
        <f>SUM(S122:V122)</f>
        <v>1013930</v>
      </c>
    </row>
    <row r="123" spans="1:25" ht="16.5" customHeight="1">
      <c r="A123" s="190" t="s">
        <v>188</v>
      </c>
      <c r="B123" s="191"/>
      <c r="C123" s="191"/>
      <c r="D123" s="191"/>
      <c r="E123" s="191"/>
      <c r="F123" s="192"/>
      <c r="G123" s="193" t="s">
        <v>32</v>
      </c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59">
        <f>SUM(R124:R128)</f>
        <v>1013930</v>
      </c>
      <c r="S123" s="70">
        <f aca="true" t="shared" si="36" ref="S123:X123">SUM(S124:S128)</f>
        <v>372000</v>
      </c>
      <c r="T123" s="32">
        <f t="shared" si="36"/>
        <v>491930</v>
      </c>
      <c r="U123" s="32">
        <f t="shared" si="36"/>
        <v>100000</v>
      </c>
      <c r="V123" s="70">
        <f t="shared" si="36"/>
        <v>50000</v>
      </c>
      <c r="W123" s="59">
        <f t="shared" si="36"/>
        <v>866950</v>
      </c>
      <c r="X123" s="56">
        <f t="shared" si="36"/>
        <v>869700</v>
      </c>
      <c r="Y123" s="29">
        <f>SUM(S123:V123)</f>
        <v>1013930</v>
      </c>
    </row>
    <row r="124" spans="1:25" ht="16.5" customHeight="1" hidden="1">
      <c r="A124" s="190" t="s">
        <v>191</v>
      </c>
      <c r="B124" s="191"/>
      <c r="C124" s="191"/>
      <c r="D124" s="191"/>
      <c r="E124" s="191"/>
      <c r="F124" s="192"/>
      <c r="G124" s="193" t="s">
        <v>39</v>
      </c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60">
        <f>SUM(S124:V124)</f>
        <v>0</v>
      </c>
      <c r="S124" s="104">
        <f>2360-2360</f>
        <v>0</v>
      </c>
      <c r="T124" s="33">
        <v>0</v>
      </c>
      <c r="U124" s="33">
        <v>0</v>
      </c>
      <c r="V124" s="104">
        <v>0</v>
      </c>
      <c r="W124" s="60">
        <v>0</v>
      </c>
      <c r="X124" s="109">
        <v>0</v>
      </c>
      <c r="Y124" s="29">
        <f>SUM(S124:X124)</f>
        <v>0</v>
      </c>
    </row>
    <row r="125" spans="1:25" ht="16.5" customHeight="1">
      <c r="A125" s="190" t="s">
        <v>192</v>
      </c>
      <c r="B125" s="191"/>
      <c r="C125" s="191"/>
      <c r="D125" s="191"/>
      <c r="E125" s="191"/>
      <c r="F125" s="192"/>
      <c r="G125" s="193" t="s">
        <v>40</v>
      </c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60">
        <f>SUM(S125:V125)</f>
        <v>500000</v>
      </c>
      <c r="S125" s="104">
        <v>200000</v>
      </c>
      <c r="T125" s="33">
        <v>150000</v>
      </c>
      <c r="U125" s="33">
        <v>100000</v>
      </c>
      <c r="V125" s="104">
        <v>50000</v>
      </c>
      <c r="W125" s="60">
        <v>500000</v>
      </c>
      <c r="X125" s="109">
        <v>500000</v>
      </c>
      <c r="Y125" s="29">
        <f>SUM(S125:X125)</f>
        <v>1500000</v>
      </c>
    </row>
    <row r="126" spans="1:25" ht="16.5" customHeight="1">
      <c r="A126" s="190" t="s">
        <v>193</v>
      </c>
      <c r="B126" s="191"/>
      <c r="C126" s="191"/>
      <c r="D126" s="191"/>
      <c r="E126" s="191"/>
      <c r="F126" s="192"/>
      <c r="G126" s="193" t="s">
        <v>41</v>
      </c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60">
        <f>SUM(S126:V126)</f>
        <v>513930</v>
      </c>
      <c r="S126" s="104">
        <v>172000</v>
      </c>
      <c r="T126" s="33">
        <f>171930+400000-230000</f>
        <v>341930</v>
      </c>
      <c r="U126" s="33">
        <v>0</v>
      </c>
      <c r="V126" s="104">
        <v>0</v>
      </c>
      <c r="W126" s="60">
        <v>366950</v>
      </c>
      <c r="X126" s="109">
        <v>369700</v>
      </c>
      <c r="Y126" s="29">
        <f>SUM(S126:X126)</f>
        <v>1250580</v>
      </c>
    </row>
    <row r="127" spans="1:25" ht="21.75" customHeight="1" hidden="1">
      <c r="A127" s="190" t="s">
        <v>194</v>
      </c>
      <c r="B127" s="191"/>
      <c r="C127" s="191"/>
      <c r="D127" s="191"/>
      <c r="E127" s="191"/>
      <c r="F127" s="192"/>
      <c r="G127" s="193" t="s">
        <v>50</v>
      </c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60">
        <f>SUM(S127:V127)</f>
        <v>0</v>
      </c>
      <c r="S127" s="104">
        <v>0</v>
      </c>
      <c r="T127" s="33">
        <f>100000-100000</f>
        <v>0</v>
      </c>
      <c r="U127" s="33">
        <f>80400-80400+44361.1-44361.1</f>
        <v>0</v>
      </c>
      <c r="V127" s="104">
        <f>180000-180000</f>
        <v>0</v>
      </c>
      <c r="W127" s="60">
        <v>0</v>
      </c>
      <c r="X127" s="109">
        <v>0</v>
      </c>
      <c r="Y127" s="29">
        <f>SUM(S127:X127)</f>
        <v>0</v>
      </c>
    </row>
    <row r="128" spans="1:25" ht="16.5" customHeight="1" hidden="1">
      <c r="A128" s="190" t="s">
        <v>195</v>
      </c>
      <c r="B128" s="191"/>
      <c r="C128" s="191"/>
      <c r="D128" s="191"/>
      <c r="E128" s="191"/>
      <c r="F128" s="192"/>
      <c r="G128" s="195" t="s">
        <v>75</v>
      </c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60">
        <f>SUM(S128:V128)</f>
        <v>0</v>
      </c>
      <c r="S128" s="104">
        <v>0</v>
      </c>
      <c r="T128" s="33">
        <f>100000-100000</f>
        <v>0</v>
      </c>
      <c r="U128" s="33">
        <f>80400-80400</f>
        <v>0</v>
      </c>
      <c r="V128" s="104">
        <v>0</v>
      </c>
      <c r="W128" s="60">
        <v>0</v>
      </c>
      <c r="X128" s="109">
        <v>0</v>
      </c>
      <c r="Y128" s="29">
        <f>SUM(S128:X128)</f>
        <v>0</v>
      </c>
    </row>
    <row r="129" spans="1:25" s="3" customFormat="1" ht="26.25" customHeight="1">
      <c r="A129" s="185" t="s">
        <v>196</v>
      </c>
      <c r="B129" s="186"/>
      <c r="C129" s="186"/>
      <c r="D129" s="186"/>
      <c r="E129" s="186"/>
      <c r="F129" s="187"/>
      <c r="G129" s="188" t="s">
        <v>53</v>
      </c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58">
        <f>R130</f>
        <v>621580</v>
      </c>
      <c r="S129" s="103">
        <f aca="true" t="shared" si="37" ref="S129:X129">S130</f>
        <v>93595.78000000001</v>
      </c>
      <c r="T129" s="31">
        <f t="shared" si="37"/>
        <v>257990</v>
      </c>
      <c r="U129" s="31">
        <f>U130</f>
        <v>269994.22</v>
      </c>
      <c r="V129" s="103">
        <f t="shared" si="37"/>
        <v>0</v>
      </c>
      <c r="W129" s="58">
        <f t="shared" si="37"/>
        <v>381720</v>
      </c>
      <c r="X129" s="108">
        <f t="shared" si="37"/>
        <v>382930</v>
      </c>
      <c r="Y129" s="29">
        <f>SUM(S129:V129)</f>
        <v>621580</v>
      </c>
    </row>
    <row r="130" spans="1:25" ht="15.75" customHeight="1">
      <c r="A130" s="190" t="s">
        <v>197</v>
      </c>
      <c r="B130" s="191"/>
      <c r="C130" s="191"/>
      <c r="D130" s="191"/>
      <c r="E130" s="191"/>
      <c r="F130" s="192"/>
      <c r="G130" s="193" t="s">
        <v>32</v>
      </c>
      <c r="H130" s="194"/>
      <c r="I130" s="194"/>
      <c r="J130" s="194"/>
      <c r="K130" s="194"/>
      <c r="L130" s="194"/>
      <c r="M130" s="194"/>
      <c r="N130" s="194"/>
      <c r="O130" s="194"/>
      <c r="P130" s="194"/>
      <c r="Q130" s="194"/>
      <c r="R130" s="59">
        <f aca="true" t="shared" si="38" ref="R130:X130">SUM(R131:R134)</f>
        <v>621580</v>
      </c>
      <c r="S130" s="70">
        <f>SUM(S131:S134)</f>
        <v>93595.78000000001</v>
      </c>
      <c r="T130" s="32">
        <f t="shared" si="38"/>
        <v>257990</v>
      </c>
      <c r="U130" s="32">
        <f t="shared" si="38"/>
        <v>269994.22</v>
      </c>
      <c r="V130" s="70">
        <f t="shared" si="38"/>
        <v>0</v>
      </c>
      <c r="W130" s="59">
        <f t="shared" si="38"/>
        <v>381720</v>
      </c>
      <c r="X130" s="56">
        <f t="shared" si="38"/>
        <v>382930</v>
      </c>
      <c r="Y130" s="29">
        <f>SUM(S130:V130)</f>
        <v>621580</v>
      </c>
    </row>
    <row r="131" spans="1:25" ht="16.5" customHeight="1">
      <c r="A131" s="190" t="s">
        <v>198</v>
      </c>
      <c r="B131" s="191"/>
      <c r="C131" s="191"/>
      <c r="D131" s="191"/>
      <c r="E131" s="191"/>
      <c r="F131" s="192"/>
      <c r="G131" s="193" t="s">
        <v>39</v>
      </c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60">
        <f>SUM(S131:V131)</f>
        <v>92194.22</v>
      </c>
      <c r="S131" s="104">
        <v>0</v>
      </c>
      <c r="T131" s="33">
        <v>70200</v>
      </c>
      <c r="U131" s="33">
        <f>21847.93+146.29</f>
        <v>21994.22</v>
      </c>
      <c r="V131" s="104">
        <v>0</v>
      </c>
      <c r="W131" s="60">
        <v>0</v>
      </c>
      <c r="X131" s="109">
        <v>0</v>
      </c>
      <c r="Y131" s="29">
        <f>SUM(S131:X131)</f>
        <v>92194.22</v>
      </c>
    </row>
    <row r="132" spans="1:25" ht="16.5" customHeight="1">
      <c r="A132" s="190" t="s">
        <v>199</v>
      </c>
      <c r="B132" s="191"/>
      <c r="C132" s="191"/>
      <c r="D132" s="191"/>
      <c r="E132" s="191"/>
      <c r="F132" s="192"/>
      <c r="G132" s="193" t="s">
        <v>41</v>
      </c>
      <c r="H132" s="194"/>
      <c r="I132" s="194"/>
      <c r="J132" s="194"/>
      <c r="K132" s="194"/>
      <c r="L132" s="194"/>
      <c r="M132" s="194"/>
      <c r="N132" s="194"/>
      <c r="O132" s="194"/>
      <c r="P132" s="194"/>
      <c r="Q132" s="194"/>
      <c r="R132" s="60">
        <f>SUM(S132:V132)</f>
        <v>267235.78</v>
      </c>
      <c r="S132" s="104">
        <f>185790-6750-7400-70200-21847.93-146.29</f>
        <v>79445.78000000001</v>
      </c>
      <c r="T132" s="33">
        <f>185790+250000-248000</f>
        <v>187790</v>
      </c>
      <c r="U132" s="33">
        <v>0</v>
      </c>
      <c r="V132" s="104">
        <v>0</v>
      </c>
      <c r="W132" s="60">
        <v>381720</v>
      </c>
      <c r="X132" s="109">
        <v>382930</v>
      </c>
      <c r="Y132" s="29">
        <f>SUM(S132:X132)</f>
        <v>1031885.78</v>
      </c>
    </row>
    <row r="133" spans="1:25" ht="16.5" customHeight="1">
      <c r="A133" s="190" t="s">
        <v>294</v>
      </c>
      <c r="B133" s="191"/>
      <c r="C133" s="191"/>
      <c r="D133" s="191"/>
      <c r="E133" s="191"/>
      <c r="F133" s="192"/>
      <c r="G133" s="193" t="s">
        <v>42</v>
      </c>
      <c r="H133" s="194"/>
      <c r="I133" s="194"/>
      <c r="J133" s="194"/>
      <c r="K133" s="194"/>
      <c r="L133" s="194"/>
      <c r="M133" s="194"/>
      <c r="N133" s="194"/>
      <c r="O133" s="194"/>
      <c r="P133" s="194"/>
      <c r="Q133" s="194"/>
      <c r="R133" s="60">
        <f>SUM(S133:V133)</f>
        <v>254750</v>
      </c>
      <c r="S133" s="104">
        <v>6750</v>
      </c>
      <c r="T133" s="33">
        <v>0</v>
      </c>
      <c r="U133" s="33">
        <f>248000</f>
        <v>248000</v>
      </c>
      <c r="V133" s="104">
        <v>0</v>
      </c>
      <c r="W133" s="60">
        <v>0</v>
      </c>
      <c r="X133" s="109">
        <v>0</v>
      </c>
      <c r="Y133" s="29">
        <f>SUM(S133:X133)</f>
        <v>254750</v>
      </c>
    </row>
    <row r="134" spans="1:25" ht="16.5" customHeight="1">
      <c r="A134" s="190" t="s">
        <v>296</v>
      </c>
      <c r="B134" s="191"/>
      <c r="C134" s="191"/>
      <c r="D134" s="191"/>
      <c r="E134" s="191"/>
      <c r="F134" s="192"/>
      <c r="G134" s="193" t="s">
        <v>43</v>
      </c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60">
        <f>SUM(S134:V134)</f>
        <v>7400</v>
      </c>
      <c r="S134" s="104">
        <v>7400</v>
      </c>
      <c r="T134" s="33">
        <v>0</v>
      </c>
      <c r="U134" s="33">
        <v>0</v>
      </c>
      <c r="V134" s="104">
        <v>0</v>
      </c>
      <c r="W134" s="60">
        <v>0</v>
      </c>
      <c r="X134" s="109">
        <v>0</v>
      </c>
      <c r="Y134" s="29">
        <f>SUM(S134:X134)</f>
        <v>7400</v>
      </c>
    </row>
    <row r="135" spans="1:25" s="3" customFormat="1" ht="16.5" customHeight="1">
      <c r="A135" s="185" t="s">
        <v>201</v>
      </c>
      <c r="B135" s="186"/>
      <c r="C135" s="186"/>
      <c r="D135" s="186"/>
      <c r="E135" s="186"/>
      <c r="F135" s="187"/>
      <c r="G135" s="188" t="s">
        <v>54</v>
      </c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58">
        <f>R136</f>
        <v>40000</v>
      </c>
      <c r="S135" s="103">
        <f aca="true" t="shared" si="39" ref="S135:X136">S136</f>
        <v>0</v>
      </c>
      <c r="T135" s="31">
        <f t="shared" si="39"/>
        <v>40000</v>
      </c>
      <c r="U135" s="31">
        <f t="shared" si="39"/>
        <v>0</v>
      </c>
      <c r="V135" s="103">
        <f t="shared" si="39"/>
        <v>0</v>
      </c>
      <c r="W135" s="58">
        <f t="shared" si="39"/>
        <v>0</v>
      </c>
      <c r="X135" s="108">
        <f t="shared" si="39"/>
        <v>0</v>
      </c>
      <c r="Y135" s="29">
        <f>SUM(S135:V135)</f>
        <v>40000</v>
      </c>
    </row>
    <row r="136" spans="1:25" ht="16.5" customHeight="1">
      <c r="A136" s="190" t="s">
        <v>202</v>
      </c>
      <c r="B136" s="191"/>
      <c r="C136" s="191"/>
      <c r="D136" s="191"/>
      <c r="E136" s="191"/>
      <c r="F136" s="192"/>
      <c r="G136" s="193" t="s">
        <v>32</v>
      </c>
      <c r="H136" s="194"/>
      <c r="I136" s="194"/>
      <c r="J136" s="194"/>
      <c r="K136" s="194"/>
      <c r="L136" s="194"/>
      <c r="M136" s="194"/>
      <c r="N136" s="194"/>
      <c r="O136" s="194"/>
      <c r="P136" s="194"/>
      <c r="Q136" s="194"/>
      <c r="R136" s="59">
        <f>R137</f>
        <v>40000</v>
      </c>
      <c r="S136" s="70">
        <f t="shared" si="39"/>
        <v>0</v>
      </c>
      <c r="T136" s="32">
        <f t="shared" si="39"/>
        <v>40000</v>
      </c>
      <c r="U136" s="32">
        <f t="shared" si="39"/>
        <v>0</v>
      </c>
      <c r="V136" s="70">
        <f t="shared" si="39"/>
        <v>0</v>
      </c>
      <c r="W136" s="59">
        <f t="shared" si="39"/>
        <v>0</v>
      </c>
      <c r="X136" s="56">
        <f t="shared" si="39"/>
        <v>0</v>
      </c>
      <c r="Y136" s="29">
        <f>SUM(S136:V136)</f>
        <v>40000</v>
      </c>
    </row>
    <row r="137" spans="1:25" ht="16.5" customHeight="1">
      <c r="A137" s="190" t="s">
        <v>203</v>
      </c>
      <c r="B137" s="191"/>
      <c r="C137" s="191"/>
      <c r="D137" s="191"/>
      <c r="E137" s="191"/>
      <c r="F137" s="192"/>
      <c r="G137" s="193" t="s">
        <v>41</v>
      </c>
      <c r="H137" s="194"/>
      <c r="I137" s="194"/>
      <c r="J137" s="194"/>
      <c r="K137" s="194"/>
      <c r="L137" s="194"/>
      <c r="M137" s="194"/>
      <c r="N137" s="194"/>
      <c r="O137" s="194"/>
      <c r="P137" s="194"/>
      <c r="Q137" s="194"/>
      <c r="R137" s="60">
        <f>SUM(S137:V137)</f>
        <v>40000</v>
      </c>
      <c r="S137" s="104">
        <v>0</v>
      </c>
      <c r="T137" s="33">
        <v>40000</v>
      </c>
      <c r="U137" s="33">
        <v>0</v>
      </c>
      <c r="V137" s="104">
        <v>0</v>
      </c>
      <c r="W137" s="60">
        <v>0</v>
      </c>
      <c r="X137" s="109">
        <v>0</v>
      </c>
      <c r="Y137" s="29">
        <f>SUM(S137:X137)</f>
        <v>40000</v>
      </c>
    </row>
    <row r="138" spans="1:25" s="3" customFormat="1" ht="16.5" customHeight="1">
      <c r="A138" s="185" t="s">
        <v>204</v>
      </c>
      <c r="B138" s="186"/>
      <c r="C138" s="186"/>
      <c r="D138" s="186"/>
      <c r="E138" s="186"/>
      <c r="F138" s="187"/>
      <c r="G138" s="188" t="s">
        <v>55</v>
      </c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58">
        <f aca="true" t="shared" si="40" ref="R138:X138">R139</f>
        <v>90000</v>
      </c>
      <c r="S138" s="103">
        <f t="shared" si="40"/>
        <v>16878.61</v>
      </c>
      <c r="T138" s="31">
        <f t="shared" si="40"/>
        <v>59536.28</v>
      </c>
      <c r="U138" s="31">
        <f t="shared" si="40"/>
        <v>5935.11</v>
      </c>
      <c r="V138" s="103">
        <f t="shared" si="40"/>
        <v>7650</v>
      </c>
      <c r="W138" s="58">
        <f t="shared" si="40"/>
        <v>41090</v>
      </c>
      <c r="X138" s="108">
        <f t="shared" si="40"/>
        <v>41220</v>
      </c>
      <c r="Y138" s="29">
        <f>SUM(S138:V138)</f>
        <v>90000</v>
      </c>
    </row>
    <row r="139" spans="1:25" ht="16.5" customHeight="1">
      <c r="A139" s="190" t="s">
        <v>205</v>
      </c>
      <c r="B139" s="191"/>
      <c r="C139" s="191"/>
      <c r="D139" s="191"/>
      <c r="E139" s="191"/>
      <c r="F139" s="192"/>
      <c r="G139" s="193" t="s">
        <v>32</v>
      </c>
      <c r="H139" s="194"/>
      <c r="I139" s="194"/>
      <c r="J139" s="194"/>
      <c r="K139" s="194"/>
      <c r="L139" s="194"/>
      <c r="M139" s="194"/>
      <c r="N139" s="194"/>
      <c r="O139" s="194"/>
      <c r="P139" s="194"/>
      <c r="Q139" s="194"/>
      <c r="R139" s="59">
        <f aca="true" t="shared" si="41" ref="R139:X139">SUM(R140:R143)</f>
        <v>90000</v>
      </c>
      <c r="S139" s="70">
        <f t="shared" si="41"/>
        <v>16878.61</v>
      </c>
      <c r="T139" s="32">
        <f t="shared" si="41"/>
        <v>59536.28</v>
      </c>
      <c r="U139" s="32">
        <f t="shared" si="41"/>
        <v>5935.11</v>
      </c>
      <c r="V139" s="70">
        <f t="shared" si="41"/>
        <v>7650</v>
      </c>
      <c r="W139" s="59">
        <f t="shared" si="41"/>
        <v>41090</v>
      </c>
      <c r="X139" s="56">
        <f t="shared" si="41"/>
        <v>41220</v>
      </c>
      <c r="Y139" s="29">
        <f>SUM(S139:V139)</f>
        <v>90000</v>
      </c>
    </row>
    <row r="140" spans="1:25" ht="16.5" customHeight="1">
      <c r="A140" s="190" t="s">
        <v>317</v>
      </c>
      <c r="B140" s="191"/>
      <c r="C140" s="191"/>
      <c r="D140" s="191"/>
      <c r="E140" s="191"/>
      <c r="F140" s="192"/>
      <c r="G140" s="193" t="s">
        <v>39</v>
      </c>
      <c r="H140" s="194"/>
      <c r="I140" s="194"/>
      <c r="J140" s="194"/>
      <c r="K140" s="194"/>
      <c r="L140" s="194"/>
      <c r="M140" s="194"/>
      <c r="N140" s="194"/>
      <c r="O140" s="194"/>
      <c r="P140" s="194"/>
      <c r="Q140" s="194"/>
      <c r="R140" s="60">
        <f>SUM(S140:V140)</f>
        <v>1285.11</v>
      </c>
      <c r="S140" s="104">
        <v>0</v>
      </c>
      <c r="T140" s="33">
        <v>0</v>
      </c>
      <c r="U140" s="33">
        <v>1285.11</v>
      </c>
      <c r="V140" s="104">
        <v>0</v>
      </c>
      <c r="W140" s="60">
        <v>0</v>
      </c>
      <c r="X140" s="109">
        <v>0</v>
      </c>
      <c r="Y140" s="29">
        <f>SUM(S140:X140)</f>
        <v>1285.11</v>
      </c>
    </row>
    <row r="141" spans="1:25" ht="16.5" customHeight="1">
      <c r="A141" s="190" t="s">
        <v>206</v>
      </c>
      <c r="B141" s="191"/>
      <c r="C141" s="191"/>
      <c r="D141" s="191"/>
      <c r="E141" s="191"/>
      <c r="F141" s="192"/>
      <c r="G141" s="193" t="s">
        <v>41</v>
      </c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60">
        <f>SUM(S141:V141)</f>
        <v>82714.89</v>
      </c>
      <c r="S141" s="104">
        <v>14650</v>
      </c>
      <c r="T141" s="33">
        <f>10050+50000-1285.11</f>
        <v>58764.89</v>
      </c>
      <c r="U141" s="33">
        <v>4650</v>
      </c>
      <c r="V141" s="104">
        <v>4650</v>
      </c>
      <c r="W141" s="60">
        <v>35090</v>
      </c>
      <c r="X141" s="109">
        <v>35220</v>
      </c>
      <c r="Y141" s="29">
        <f>SUM(S141:X141)</f>
        <v>153024.89</v>
      </c>
    </row>
    <row r="142" spans="1:25" ht="16.5" customHeight="1">
      <c r="A142" s="190" t="s">
        <v>207</v>
      </c>
      <c r="B142" s="191"/>
      <c r="C142" s="191"/>
      <c r="D142" s="191"/>
      <c r="E142" s="191"/>
      <c r="F142" s="192"/>
      <c r="G142" s="193" t="s">
        <v>42</v>
      </c>
      <c r="H142" s="194"/>
      <c r="I142" s="194"/>
      <c r="J142" s="194"/>
      <c r="K142" s="194"/>
      <c r="L142" s="194"/>
      <c r="M142" s="194"/>
      <c r="N142" s="194"/>
      <c r="O142" s="194"/>
      <c r="P142" s="194"/>
      <c r="Q142" s="194"/>
      <c r="R142" s="60">
        <f>SUM(S142:V142)</f>
        <v>2313.69</v>
      </c>
      <c r="S142" s="104">
        <v>1542.3</v>
      </c>
      <c r="T142" s="33">
        <v>771.39</v>
      </c>
      <c r="U142" s="33">
        <v>0</v>
      </c>
      <c r="V142" s="104">
        <v>0</v>
      </c>
      <c r="W142" s="60">
        <v>0</v>
      </c>
      <c r="X142" s="109">
        <v>0</v>
      </c>
      <c r="Y142" s="29">
        <f>SUM(S142:X142)</f>
        <v>2313.69</v>
      </c>
    </row>
    <row r="143" spans="1:25" ht="16.5" customHeight="1">
      <c r="A143" s="190" t="s">
        <v>208</v>
      </c>
      <c r="B143" s="191"/>
      <c r="C143" s="191"/>
      <c r="D143" s="191"/>
      <c r="E143" s="191"/>
      <c r="F143" s="192"/>
      <c r="G143" s="195" t="s">
        <v>75</v>
      </c>
      <c r="H143" s="196"/>
      <c r="I143" s="196"/>
      <c r="J143" s="196"/>
      <c r="K143" s="196"/>
      <c r="L143" s="196"/>
      <c r="M143" s="196"/>
      <c r="N143" s="196"/>
      <c r="O143" s="196"/>
      <c r="P143" s="196"/>
      <c r="Q143" s="196"/>
      <c r="R143" s="60">
        <f>SUM(S143:V143)</f>
        <v>3686.31</v>
      </c>
      <c r="S143" s="104">
        <f>3000-1542.3-771.39</f>
        <v>686.3100000000001</v>
      </c>
      <c r="T143" s="33">
        <v>0</v>
      </c>
      <c r="U143" s="33">
        <v>0</v>
      </c>
      <c r="V143" s="104">
        <v>3000</v>
      </c>
      <c r="W143" s="60">
        <v>6000</v>
      </c>
      <c r="X143" s="109">
        <v>6000</v>
      </c>
      <c r="Y143" s="29">
        <f>SUM(S143:X143)</f>
        <v>15686.31</v>
      </c>
    </row>
    <row r="144" spans="1:25" s="3" customFormat="1" ht="16.5" customHeight="1">
      <c r="A144" s="185" t="s">
        <v>209</v>
      </c>
      <c r="B144" s="186"/>
      <c r="C144" s="186"/>
      <c r="D144" s="186"/>
      <c r="E144" s="186"/>
      <c r="F144" s="187"/>
      <c r="G144" s="188" t="s">
        <v>56</v>
      </c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58">
        <f aca="true" t="shared" si="42" ref="R144:X144">R145</f>
        <v>384490</v>
      </c>
      <c r="S144" s="103">
        <f t="shared" si="42"/>
        <v>81245</v>
      </c>
      <c r="T144" s="31">
        <f t="shared" si="42"/>
        <v>286745</v>
      </c>
      <c r="U144" s="31">
        <f t="shared" si="42"/>
        <v>11500</v>
      </c>
      <c r="V144" s="103">
        <f t="shared" si="42"/>
        <v>5000</v>
      </c>
      <c r="W144" s="58">
        <f t="shared" si="42"/>
        <v>220350</v>
      </c>
      <c r="X144" s="108">
        <f t="shared" si="42"/>
        <v>221040</v>
      </c>
      <c r="Y144" s="29">
        <f>SUM(S144:V144)</f>
        <v>384490</v>
      </c>
    </row>
    <row r="145" spans="1:25" ht="16.5" customHeight="1">
      <c r="A145" s="190" t="s">
        <v>210</v>
      </c>
      <c r="B145" s="191"/>
      <c r="C145" s="191"/>
      <c r="D145" s="191"/>
      <c r="E145" s="191"/>
      <c r="F145" s="192"/>
      <c r="G145" s="193" t="s">
        <v>32</v>
      </c>
      <c r="H145" s="194"/>
      <c r="I145" s="194"/>
      <c r="J145" s="194"/>
      <c r="K145" s="194"/>
      <c r="L145" s="194"/>
      <c r="M145" s="194"/>
      <c r="N145" s="194"/>
      <c r="O145" s="194"/>
      <c r="P145" s="194"/>
      <c r="Q145" s="194"/>
      <c r="R145" s="59">
        <f>SUM(R146:R151)</f>
        <v>384490</v>
      </c>
      <c r="S145" s="70">
        <f aca="true" t="shared" si="43" ref="S145:X145">SUM(S146:S151)</f>
        <v>81245</v>
      </c>
      <c r="T145" s="32">
        <f t="shared" si="43"/>
        <v>286745</v>
      </c>
      <c r="U145" s="32">
        <f t="shared" si="43"/>
        <v>11500</v>
      </c>
      <c r="V145" s="70">
        <f t="shared" si="43"/>
        <v>5000</v>
      </c>
      <c r="W145" s="59">
        <f t="shared" si="43"/>
        <v>220350</v>
      </c>
      <c r="X145" s="56">
        <f t="shared" si="43"/>
        <v>221040</v>
      </c>
      <c r="Y145" s="29">
        <f>SUM(S145:V145)</f>
        <v>384490</v>
      </c>
    </row>
    <row r="146" spans="1:25" ht="16.5" customHeight="1">
      <c r="A146" s="190" t="s">
        <v>211</v>
      </c>
      <c r="B146" s="191"/>
      <c r="C146" s="191"/>
      <c r="D146" s="191"/>
      <c r="E146" s="191"/>
      <c r="F146" s="192"/>
      <c r="G146" s="193" t="s">
        <v>39</v>
      </c>
      <c r="H146" s="194"/>
      <c r="I146" s="194"/>
      <c r="J146" s="194"/>
      <c r="K146" s="194"/>
      <c r="L146" s="194"/>
      <c r="M146" s="194"/>
      <c r="N146" s="194"/>
      <c r="O146" s="194"/>
      <c r="P146" s="194"/>
      <c r="Q146" s="194"/>
      <c r="R146" s="60">
        <f aca="true" t="shared" si="44" ref="R146:R151">SUM(S146:V146)</f>
        <v>63000</v>
      </c>
      <c r="S146" s="104">
        <f>3000</f>
        <v>3000</v>
      </c>
      <c r="T146" s="33">
        <v>60000</v>
      </c>
      <c r="U146" s="33">
        <v>0</v>
      </c>
      <c r="V146" s="104">
        <v>0</v>
      </c>
      <c r="W146" s="60">
        <v>0</v>
      </c>
      <c r="X146" s="109">
        <v>0</v>
      </c>
      <c r="Y146" s="29">
        <f aca="true" t="shared" si="45" ref="Y146:Y151">SUM(S146:X146)</f>
        <v>63000</v>
      </c>
    </row>
    <row r="147" spans="1:25" ht="16.5" customHeight="1">
      <c r="A147" s="190" t="s">
        <v>212</v>
      </c>
      <c r="B147" s="191"/>
      <c r="C147" s="191"/>
      <c r="D147" s="191"/>
      <c r="E147" s="191"/>
      <c r="F147" s="192"/>
      <c r="G147" s="193" t="s">
        <v>40</v>
      </c>
      <c r="H147" s="194"/>
      <c r="I147" s="194"/>
      <c r="J147" s="194"/>
      <c r="K147" s="194"/>
      <c r="L147" s="194"/>
      <c r="M147" s="194"/>
      <c r="N147" s="194"/>
      <c r="O147" s="194"/>
      <c r="P147" s="194"/>
      <c r="Q147" s="194"/>
      <c r="R147" s="60">
        <f t="shared" si="44"/>
        <v>9000</v>
      </c>
      <c r="S147" s="104">
        <v>0</v>
      </c>
      <c r="T147" s="33">
        <v>7500</v>
      </c>
      <c r="U147" s="33">
        <f>1500</f>
        <v>1500</v>
      </c>
      <c r="V147" s="104">
        <v>0</v>
      </c>
      <c r="W147" s="60">
        <v>0</v>
      </c>
      <c r="X147" s="109">
        <v>0</v>
      </c>
      <c r="Y147" s="29">
        <f t="shared" si="45"/>
        <v>9000</v>
      </c>
    </row>
    <row r="148" spans="1:25" ht="16.5" customHeight="1">
      <c r="A148" s="190" t="s">
        <v>213</v>
      </c>
      <c r="B148" s="191"/>
      <c r="C148" s="191"/>
      <c r="D148" s="191"/>
      <c r="E148" s="191"/>
      <c r="F148" s="192"/>
      <c r="G148" s="193" t="s">
        <v>41</v>
      </c>
      <c r="H148" s="194"/>
      <c r="I148" s="194"/>
      <c r="J148" s="194"/>
      <c r="K148" s="194"/>
      <c r="L148" s="194"/>
      <c r="M148" s="194"/>
      <c r="N148" s="194"/>
      <c r="O148" s="194"/>
      <c r="P148" s="194"/>
      <c r="Q148" s="194"/>
      <c r="R148" s="60">
        <f t="shared" si="44"/>
        <v>191490</v>
      </c>
      <c r="S148" s="104">
        <f>87245-3000-30000-21000</f>
        <v>33245</v>
      </c>
      <c r="T148" s="33">
        <f>87245+190000-67500-50000-1500</f>
        <v>158245</v>
      </c>
      <c r="U148" s="33">
        <v>0</v>
      </c>
      <c r="V148" s="104">
        <v>0</v>
      </c>
      <c r="W148" s="60">
        <v>180350</v>
      </c>
      <c r="X148" s="109">
        <v>181040</v>
      </c>
      <c r="Y148" s="29">
        <f t="shared" si="45"/>
        <v>552880</v>
      </c>
    </row>
    <row r="149" spans="1:25" ht="16.5" customHeight="1">
      <c r="A149" s="190" t="s">
        <v>214</v>
      </c>
      <c r="B149" s="191"/>
      <c r="C149" s="191"/>
      <c r="D149" s="191"/>
      <c r="E149" s="191"/>
      <c r="F149" s="192"/>
      <c r="G149" s="193" t="s">
        <v>42</v>
      </c>
      <c r="H149" s="194"/>
      <c r="I149" s="194"/>
      <c r="J149" s="194"/>
      <c r="K149" s="194"/>
      <c r="L149" s="194"/>
      <c r="M149" s="194"/>
      <c r="N149" s="194"/>
      <c r="O149" s="194"/>
      <c r="P149" s="194"/>
      <c r="Q149" s="194"/>
      <c r="R149" s="60">
        <f t="shared" si="44"/>
        <v>60000</v>
      </c>
      <c r="S149" s="104">
        <v>30000</v>
      </c>
      <c r="T149" s="33">
        <v>30000</v>
      </c>
      <c r="U149" s="33">
        <f>37081.43-55726.03+18644.6</f>
        <v>0</v>
      </c>
      <c r="V149" s="104">
        <v>0</v>
      </c>
      <c r="W149" s="60">
        <v>0</v>
      </c>
      <c r="X149" s="109">
        <v>0</v>
      </c>
      <c r="Y149" s="29">
        <f t="shared" si="45"/>
        <v>60000</v>
      </c>
    </row>
    <row r="150" spans="1:25" ht="16.5" customHeight="1">
      <c r="A150" s="190" t="s">
        <v>299</v>
      </c>
      <c r="B150" s="191"/>
      <c r="C150" s="191"/>
      <c r="D150" s="191"/>
      <c r="E150" s="191"/>
      <c r="F150" s="192"/>
      <c r="G150" s="193" t="s">
        <v>76</v>
      </c>
      <c r="H150" s="194"/>
      <c r="I150" s="194"/>
      <c r="J150" s="194"/>
      <c r="K150" s="194"/>
      <c r="L150" s="194"/>
      <c r="M150" s="194"/>
      <c r="N150" s="194"/>
      <c r="O150" s="194"/>
      <c r="P150" s="194"/>
      <c r="Q150" s="194"/>
      <c r="R150" s="60">
        <f t="shared" si="44"/>
        <v>21000</v>
      </c>
      <c r="S150" s="104">
        <v>0</v>
      </c>
      <c r="T150" s="33">
        <v>21000</v>
      </c>
      <c r="U150" s="33">
        <v>0</v>
      </c>
      <c r="V150" s="104">
        <v>0</v>
      </c>
      <c r="W150" s="60">
        <v>0</v>
      </c>
      <c r="X150" s="109">
        <v>0</v>
      </c>
      <c r="Y150" s="29">
        <f t="shared" si="45"/>
        <v>21000</v>
      </c>
    </row>
    <row r="151" spans="1:25" ht="16.5" customHeight="1">
      <c r="A151" s="190" t="s">
        <v>216</v>
      </c>
      <c r="B151" s="191"/>
      <c r="C151" s="191"/>
      <c r="D151" s="191"/>
      <c r="E151" s="191"/>
      <c r="F151" s="192"/>
      <c r="G151" s="195" t="s">
        <v>75</v>
      </c>
      <c r="H151" s="196"/>
      <c r="I151" s="196"/>
      <c r="J151" s="196"/>
      <c r="K151" s="196"/>
      <c r="L151" s="196"/>
      <c r="M151" s="196"/>
      <c r="N151" s="196"/>
      <c r="O151" s="196"/>
      <c r="P151" s="196"/>
      <c r="Q151" s="196"/>
      <c r="R151" s="60">
        <f t="shared" si="44"/>
        <v>40000</v>
      </c>
      <c r="S151" s="104">
        <f>10000+5000</f>
        <v>15000</v>
      </c>
      <c r="T151" s="33">
        <f>10000+20000-20000</f>
        <v>10000</v>
      </c>
      <c r="U151" s="33">
        <v>10000</v>
      </c>
      <c r="V151" s="104">
        <f>10000-5000</f>
        <v>5000</v>
      </c>
      <c r="W151" s="60">
        <v>40000</v>
      </c>
      <c r="X151" s="109">
        <v>40000</v>
      </c>
      <c r="Y151" s="29">
        <f t="shared" si="45"/>
        <v>120000</v>
      </c>
    </row>
    <row r="152" spans="1:25" s="4" customFormat="1" ht="16.5" customHeight="1">
      <c r="A152" s="147" t="s">
        <v>217</v>
      </c>
      <c r="B152" s="148"/>
      <c r="C152" s="148"/>
      <c r="D152" s="148"/>
      <c r="E152" s="148"/>
      <c r="F152" s="178"/>
      <c r="G152" s="218" t="s">
        <v>74</v>
      </c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38">
        <f>R153</f>
        <v>10000</v>
      </c>
      <c r="S152" s="69">
        <f aca="true" t="shared" si="46" ref="S152:X153">S153</f>
        <v>0</v>
      </c>
      <c r="T152" s="30">
        <f t="shared" si="46"/>
        <v>10000</v>
      </c>
      <c r="U152" s="30">
        <f t="shared" si="46"/>
        <v>0</v>
      </c>
      <c r="V152" s="69">
        <f t="shared" si="46"/>
        <v>0</v>
      </c>
      <c r="W152" s="38">
        <f t="shared" si="46"/>
        <v>0</v>
      </c>
      <c r="X152" s="55">
        <f t="shared" si="46"/>
        <v>0</v>
      </c>
      <c r="Y152" s="29">
        <f aca="true" t="shared" si="47" ref="Y152:Y157">SUM(S152:V152)</f>
        <v>10000</v>
      </c>
    </row>
    <row r="153" spans="1:25" s="3" customFormat="1" ht="16.5" customHeight="1">
      <c r="A153" s="185" t="s">
        <v>218</v>
      </c>
      <c r="B153" s="186"/>
      <c r="C153" s="186"/>
      <c r="D153" s="186"/>
      <c r="E153" s="186"/>
      <c r="F153" s="187"/>
      <c r="G153" s="199" t="s">
        <v>107</v>
      </c>
      <c r="H153" s="200"/>
      <c r="I153" s="200"/>
      <c r="J153" s="200"/>
      <c r="K153" s="200"/>
      <c r="L153" s="200"/>
      <c r="M153" s="200"/>
      <c r="N153" s="200"/>
      <c r="O153" s="200"/>
      <c r="P153" s="200"/>
      <c r="Q153" s="200"/>
      <c r="R153" s="58">
        <f>R154</f>
        <v>10000</v>
      </c>
      <c r="S153" s="103">
        <f t="shared" si="46"/>
        <v>0</v>
      </c>
      <c r="T153" s="31">
        <f t="shared" si="46"/>
        <v>10000</v>
      </c>
      <c r="U153" s="31">
        <f t="shared" si="46"/>
        <v>0</v>
      </c>
      <c r="V153" s="103">
        <f t="shared" si="46"/>
        <v>0</v>
      </c>
      <c r="W153" s="58">
        <f t="shared" si="46"/>
        <v>0</v>
      </c>
      <c r="X153" s="108">
        <f t="shared" si="46"/>
        <v>0</v>
      </c>
      <c r="Y153" s="29">
        <f t="shared" si="47"/>
        <v>10000</v>
      </c>
    </row>
    <row r="154" spans="1:25" ht="16.5" customHeight="1">
      <c r="A154" s="190" t="s">
        <v>219</v>
      </c>
      <c r="B154" s="191"/>
      <c r="C154" s="191"/>
      <c r="D154" s="191"/>
      <c r="E154" s="191"/>
      <c r="F154" s="192"/>
      <c r="G154" s="195" t="s">
        <v>32</v>
      </c>
      <c r="H154" s="196"/>
      <c r="I154" s="196"/>
      <c r="J154" s="196"/>
      <c r="K154" s="196"/>
      <c r="L154" s="196"/>
      <c r="M154" s="196"/>
      <c r="N154" s="196"/>
      <c r="O154" s="196"/>
      <c r="P154" s="196"/>
      <c r="Q154" s="196"/>
      <c r="R154" s="59">
        <f aca="true" t="shared" si="48" ref="R154:X154">R155+R156</f>
        <v>10000</v>
      </c>
      <c r="S154" s="70">
        <f t="shared" si="48"/>
        <v>0</v>
      </c>
      <c r="T154" s="32">
        <f t="shared" si="48"/>
        <v>10000</v>
      </c>
      <c r="U154" s="32">
        <f t="shared" si="48"/>
        <v>0</v>
      </c>
      <c r="V154" s="70">
        <f t="shared" si="48"/>
        <v>0</v>
      </c>
      <c r="W154" s="59">
        <f t="shared" si="48"/>
        <v>0</v>
      </c>
      <c r="X154" s="56">
        <f t="shared" si="48"/>
        <v>0</v>
      </c>
      <c r="Y154" s="29">
        <f t="shared" si="47"/>
        <v>10000</v>
      </c>
    </row>
    <row r="155" spans="1:25" ht="16.5" customHeight="1">
      <c r="A155" s="190" t="s">
        <v>314</v>
      </c>
      <c r="B155" s="191"/>
      <c r="C155" s="191"/>
      <c r="D155" s="191"/>
      <c r="E155" s="191"/>
      <c r="F155" s="192"/>
      <c r="G155" s="195" t="s">
        <v>46</v>
      </c>
      <c r="H155" s="196"/>
      <c r="I155" s="196"/>
      <c r="J155" s="196"/>
      <c r="K155" s="196"/>
      <c r="L155" s="196"/>
      <c r="M155" s="196"/>
      <c r="N155" s="196"/>
      <c r="O155" s="196"/>
      <c r="P155" s="196"/>
      <c r="Q155" s="196"/>
      <c r="R155" s="60">
        <f>SUM(S155:V155)</f>
        <v>10000</v>
      </c>
      <c r="S155" s="104">
        <v>0</v>
      </c>
      <c r="T155" s="33">
        <v>10000</v>
      </c>
      <c r="U155" s="33">
        <v>0</v>
      </c>
      <c r="V155" s="104">
        <v>0</v>
      </c>
      <c r="W155" s="60">
        <v>0</v>
      </c>
      <c r="X155" s="109">
        <v>0</v>
      </c>
      <c r="Y155" s="29">
        <f>SUM(S155:X155)</f>
        <v>10000</v>
      </c>
    </row>
    <row r="156" spans="1:25" ht="16.5" customHeight="1" hidden="1">
      <c r="A156" s="190" t="s">
        <v>221</v>
      </c>
      <c r="B156" s="191"/>
      <c r="C156" s="191"/>
      <c r="D156" s="191"/>
      <c r="E156" s="191"/>
      <c r="F156" s="192"/>
      <c r="G156" s="195" t="s">
        <v>75</v>
      </c>
      <c r="H156" s="196"/>
      <c r="I156" s="196"/>
      <c r="J156" s="196"/>
      <c r="K156" s="196"/>
      <c r="L156" s="196"/>
      <c r="M156" s="196"/>
      <c r="N156" s="196"/>
      <c r="O156" s="196"/>
      <c r="P156" s="196"/>
      <c r="Q156" s="196"/>
      <c r="R156" s="60">
        <f>SUM(S156:V156)</f>
        <v>0</v>
      </c>
      <c r="S156" s="104">
        <v>0</v>
      </c>
      <c r="T156" s="33">
        <v>0</v>
      </c>
      <c r="U156" s="33">
        <v>0</v>
      </c>
      <c r="V156" s="104">
        <v>0</v>
      </c>
      <c r="W156" s="60">
        <v>0</v>
      </c>
      <c r="X156" s="109">
        <v>0</v>
      </c>
      <c r="Y156" s="29">
        <f>SUM(S156:X156)</f>
        <v>0</v>
      </c>
    </row>
    <row r="157" spans="1:25" s="4" customFormat="1" ht="16.5" customHeight="1">
      <c r="A157" s="147" t="s">
        <v>222</v>
      </c>
      <c r="B157" s="148"/>
      <c r="C157" s="148"/>
      <c r="D157" s="148"/>
      <c r="E157" s="148"/>
      <c r="F157" s="178"/>
      <c r="G157" s="179" t="s">
        <v>57</v>
      </c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38">
        <f aca="true" t="shared" si="49" ref="R157:X157">R159+R175</f>
        <v>4314916</v>
      </c>
      <c r="S157" s="69">
        <f t="shared" si="49"/>
        <v>1196365</v>
      </c>
      <c r="T157" s="30">
        <f t="shared" si="49"/>
        <v>1505503.33</v>
      </c>
      <c r="U157" s="30">
        <f t="shared" si="49"/>
        <v>1313501.67</v>
      </c>
      <c r="V157" s="69">
        <f t="shared" si="49"/>
        <v>299546</v>
      </c>
      <c r="W157" s="38">
        <f t="shared" si="49"/>
        <v>3148160</v>
      </c>
      <c r="X157" s="55">
        <f t="shared" si="49"/>
        <v>3158120</v>
      </c>
      <c r="Y157" s="29">
        <f t="shared" si="47"/>
        <v>4314916</v>
      </c>
    </row>
    <row r="158" spans="1:25" s="51" customFormat="1" ht="21.75" customHeight="1">
      <c r="A158" s="181" t="s">
        <v>223</v>
      </c>
      <c r="B158" s="182"/>
      <c r="C158" s="182"/>
      <c r="D158" s="182"/>
      <c r="E158" s="182"/>
      <c r="F158" s="49"/>
      <c r="G158" s="183" t="s">
        <v>95</v>
      </c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57">
        <f>R159</f>
        <v>4109916</v>
      </c>
      <c r="S158" s="99">
        <f aca="true" t="shared" si="50" ref="S158:X158">S159</f>
        <v>1186365</v>
      </c>
      <c r="T158" s="53">
        <f t="shared" si="50"/>
        <v>1485503.33</v>
      </c>
      <c r="U158" s="53">
        <f t="shared" si="50"/>
        <v>1178501.67</v>
      </c>
      <c r="V158" s="99">
        <f t="shared" si="50"/>
        <v>259546</v>
      </c>
      <c r="W158" s="57">
        <f t="shared" si="50"/>
        <v>3071120</v>
      </c>
      <c r="X158" s="107">
        <f t="shared" si="50"/>
        <v>3080830</v>
      </c>
      <c r="Y158" s="50"/>
    </row>
    <row r="159" spans="1:25" s="3" customFormat="1" ht="16.5" customHeight="1">
      <c r="A159" s="185" t="s">
        <v>224</v>
      </c>
      <c r="B159" s="186"/>
      <c r="C159" s="186"/>
      <c r="D159" s="186"/>
      <c r="E159" s="186"/>
      <c r="F159" s="187"/>
      <c r="G159" s="188" t="s">
        <v>58</v>
      </c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58">
        <f aca="true" t="shared" si="51" ref="R159:X159">R160</f>
        <v>4109916</v>
      </c>
      <c r="S159" s="103">
        <f t="shared" si="51"/>
        <v>1186365</v>
      </c>
      <c r="T159" s="31">
        <f t="shared" si="51"/>
        <v>1485503.33</v>
      </c>
      <c r="U159" s="31">
        <f t="shared" si="51"/>
        <v>1178501.67</v>
      </c>
      <c r="V159" s="103">
        <f t="shared" si="51"/>
        <v>259546</v>
      </c>
      <c r="W159" s="58">
        <f t="shared" si="51"/>
        <v>3071120</v>
      </c>
      <c r="X159" s="108">
        <f t="shared" si="51"/>
        <v>3080830</v>
      </c>
      <c r="Y159" s="29">
        <f>SUM(S159:V159)</f>
        <v>4109916</v>
      </c>
    </row>
    <row r="160" spans="1:25" ht="16.5" customHeight="1">
      <c r="A160" s="190" t="s">
        <v>225</v>
      </c>
      <c r="B160" s="191"/>
      <c r="C160" s="191"/>
      <c r="D160" s="191"/>
      <c r="E160" s="191"/>
      <c r="F160" s="192"/>
      <c r="G160" s="193" t="s">
        <v>59</v>
      </c>
      <c r="H160" s="194"/>
      <c r="I160" s="194"/>
      <c r="J160" s="194"/>
      <c r="K160" s="194"/>
      <c r="L160" s="194"/>
      <c r="M160" s="194"/>
      <c r="N160" s="194"/>
      <c r="O160" s="194"/>
      <c r="P160" s="194"/>
      <c r="Q160" s="194"/>
      <c r="R160" s="59">
        <f>SUM(R161:R173)</f>
        <v>4109916</v>
      </c>
      <c r="S160" s="70">
        <f aca="true" t="shared" si="52" ref="S160:X160">SUM(S161:S173)</f>
        <v>1186365</v>
      </c>
      <c r="T160" s="32">
        <f t="shared" si="52"/>
        <v>1485503.33</v>
      </c>
      <c r="U160" s="32">
        <f t="shared" si="52"/>
        <v>1178501.67</v>
      </c>
      <c r="V160" s="70">
        <f t="shared" si="52"/>
        <v>259546</v>
      </c>
      <c r="W160" s="59">
        <f t="shared" si="52"/>
        <v>3071120</v>
      </c>
      <c r="X160" s="56">
        <f t="shared" si="52"/>
        <v>3080830</v>
      </c>
      <c r="Y160" s="29">
        <f aca="true" t="shared" si="53" ref="Y160:Y194">SUM(S160:V160)</f>
        <v>4109916</v>
      </c>
    </row>
    <row r="161" spans="1:25" ht="16.5" customHeight="1">
      <c r="A161" s="190" t="s">
        <v>226</v>
      </c>
      <c r="B161" s="191"/>
      <c r="C161" s="191"/>
      <c r="D161" s="191"/>
      <c r="E161" s="191"/>
      <c r="F161" s="192"/>
      <c r="G161" s="193" t="s">
        <v>33</v>
      </c>
      <c r="H161" s="194"/>
      <c r="I161" s="194"/>
      <c r="J161" s="194"/>
      <c r="K161" s="194"/>
      <c r="L161" s="194"/>
      <c r="M161" s="194"/>
      <c r="N161" s="194"/>
      <c r="O161" s="194"/>
      <c r="P161" s="194"/>
      <c r="Q161" s="194"/>
      <c r="R161" s="60">
        <f aca="true" t="shared" si="54" ref="R161:R173">SUM(S161:V161)</f>
        <v>2453346</v>
      </c>
      <c r="S161" s="104">
        <f>738000+54000-54000</f>
        <v>738000</v>
      </c>
      <c r="T161" s="33">
        <f>738000+72000-72000+107641.16</f>
        <v>845641.16</v>
      </c>
      <c r="U161" s="33">
        <f>764000+36000-36000-107641.16</f>
        <v>656358.84</v>
      </c>
      <c r="V161" s="104">
        <f>213346+54000-54000</f>
        <v>213346</v>
      </c>
      <c r="W161" s="60">
        <v>1840000</v>
      </c>
      <c r="X161" s="109">
        <v>1845000</v>
      </c>
      <c r="Y161" s="29">
        <f t="shared" si="53"/>
        <v>2453346</v>
      </c>
    </row>
    <row r="162" spans="1:25" ht="16.5" customHeight="1">
      <c r="A162" s="190" t="s">
        <v>227</v>
      </c>
      <c r="B162" s="191"/>
      <c r="C162" s="191"/>
      <c r="D162" s="191"/>
      <c r="E162" s="191"/>
      <c r="F162" s="192"/>
      <c r="G162" s="193" t="s">
        <v>37</v>
      </c>
      <c r="H162" s="194"/>
      <c r="I162" s="194"/>
      <c r="J162" s="194"/>
      <c r="K162" s="194"/>
      <c r="L162" s="194"/>
      <c r="M162" s="194"/>
      <c r="N162" s="194"/>
      <c r="O162" s="194"/>
      <c r="P162" s="194"/>
      <c r="Q162" s="194"/>
      <c r="R162" s="60">
        <f t="shared" si="54"/>
        <v>90000</v>
      </c>
      <c r="S162" s="104">
        <v>0</v>
      </c>
      <c r="T162" s="33">
        <v>90000</v>
      </c>
      <c r="U162" s="33">
        <v>0</v>
      </c>
      <c r="V162" s="104">
        <v>0</v>
      </c>
      <c r="W162" s="60"/>
      <c r="X162" s="109"/>
      <c r="Y162" s="29">
        <f t="shared" si="53"/>
        <v>90000</v>
      </c>
    </row>
    <row r="163" spans="1:25" ht="16.5" customHeight="1">
      <c r="A163" s="190" t="s">
        <v>228</v>
      </c>
      <c r="B163" s="191"/>
      <c r="C163" s="191"/>
      <c r="D163" s="191"/>
      <c r="E163" s="191"/>
      <c r="F163" s="192"/>
      <c r="G163" s="193" t="s">
        <v>34</v>
      </c>
      <c r="H163" s="194"/>
      <c r="I163" s="194"/>
      <c r="J163" s="194"/>
      <c r="K163" s="194"/>
      <c r="L163" s="194"/>
      <c r="M163" s="194"/>
      <c r="N163" s="194"/>
      <c r="O163" s="194"/>
      <c r="P163" s="194"/>
      <c r="Q163" s="194"/>
      <c r="R163" s="60">
        <f t="shared" si="54"/>
        <v>771370</v>
      </c>
      <c r="S163" s="104">
        <f>253000+18500-18500</f>
        <v>253000</v>
      </c>
      <c r="T163" s="33">
        <f>253000+24600-24600+10227.1+0.07</f>
        <v>263227.17</v>
      </c>
      <c r="U163" s="33">
        <f>265370+12300-12300-10227.1-0.07</f>
        <v>255142.83</v>
      </c>
      <c r="V163" s="104">
        <f>18500-18500</f>
        <v>0</v>
      </c>
      <c r="W163" s="60">
        <v>635920</v>
      </c>
      <c r="X163" s="109">
        <v>640630</v>
      </c>
      <c r="Y163" s="29">
        <f t="shared" si="53"/>
        <v>771370</v>
      </c>
    </row>
    <row r="164" spans="1:25" ht="16.5" customHeight="1">
      <c r="A164" s="190" t="s">
        <v>229</v>
      </c>
      <c r="B164" s="191"/>
      <c r="C164" s="191"/>
      <c r="D164" s="191"/>
      <c r="E164" s="191"/>
      <c r="F164" s="192"/>
      <c r="G164" s="193" t="s">
        <v>38</v>
      </c>
      <c r="H164" s="194"/>
      <c r="I164" s="194"/>
      <c r="J164" s="194"/>
      <c r="K164" s="194"/>
      <c r="L164" s="194"/>
      <c r="M164" s="194"/>
      <c r="N164" s="194"/>
      <c r="O164" s="194"/>
      <c r="P164" s="194"/>
      <c r="Q164" s="194"/>
      <c r="R164" s="60">
        <f t="shared" si="54"/>
        <v>0</v>
      </c>
      <c r="S164" s="104">
        <f>28000-28000</f>
        <v>0</v>
      </c>
      <c r="T164" s="33">
        <f>25000-25000</f>
        <v>0</v>
      </c>
      <c r="U164" s="33">
        <f>25000-25000</f>
        <v>0</v>
      </c>
      <c r="V164" s="104">
        <f>20000-20000</f>
        <v>0</v>
      </c>
      <c r="W164" s="60">
        <v>0</v>
      </c>
      <c r="X164" s="109">
        <v>0</v>
      </c>
      <c r="Y164" s="29">
        <f t="shared" si="53"/>
        <v>0</v>
      </c>
    </row>
    <row r="165" spans="1:25" ht="16.5" customHeight="1" hidden="1">
      <c r="A165" s="190" t="s">
        <v>230</v>
      </c>
      <c r="B165" s="191"/>
      <c r="C165" s="191"/>
      <c r="D165" s="191"/>
      <c r="E165" s="191"/>
      <c r="F165" s="192"/>
      <c r="G165" s="193" t="s">
        <v>39</v>
      </c>
      <c r="H165" s="194"/>
      <c r="I165" s="194"/>
      <c r="J165" s="194"/>
      <c r="K165" s="194"/>
      <c r="L165" s="194"/>
      <c r="M165" s="194"/>
      <c r="N165" s="194"/>
      <c r="O165" s="194"/>
      <c r="P165" s="194"/>
      <c r="Q165" s="194"/>
      <c r="R165" s="60">
        <f t="shared" si="54"/>
        <v>0</v>
      </c>
      <c r="S165" s="104">
        <v>0</v>
      </c>
      <c r="T165" s="33">
        <v>0</v>
      </c>
      <c r="U165" s="33">
        <v>0</v>
      </c>
      <c r="V165" s="104">
        <v>0</v>
      </c>
      <c r="W165" s="60">
        <v>0</v>
      </c>
      <c r="X165" s="109">
        <v>0</v>
      </c>
      <c r="Y165" s="29">
        <f>SUM(S165:X165)</f>
        <v>0</v>
      </c>
    </row>
    <row r="166" spans="1:25" ht="16.5" customHeight="1">
      <c r="A166" s="190" t="s">
        <v>231</v>
      </c>
      <c r="B166" s="191"/>
      <c r="C166" s="191"/>
      <c r="D166" s="191"/>
      <c r="E166" s="191"/>
      <c r="F166" s="192"/>
      <c r="G166" s="193" t="s">
        <v>40</v>
      </c>
      <c r="H166" s="194"/>
      <c r="I166" s="194"/>
      <c r="J166" s="194"/>
      <c r="K166" s="194"/>
      <c r="L166" s="194"/>
      <c r="M166" s="194"/>
      <c r="N166" s="194"/>
      <c r="O166" s="194"/>
      <c r="P166" s="194"/>
      <c r="Q166" s="194"/>
      <c r="R166" s="60">
        <f t="shared" si="54"/>
        <v>300000</v>
      </c>
      <c r="S166" s="104">
        <v>130000</v>
      </c>
      <c r="T166" s="33">
        <f>140000+60000-60000</f>
        <v>140000</v>
      </c>
      <c r="U166" s="33">
        <f>30000+10000-10000</f>
        <v>30000</v>
      </c>
      <c r="V166" s="104">
        <f>100000-20000-80000+10000-10000</f>
        <v>0</v>
      </c>
      <c r="W166" s="60">
        <v>400000</v>
      </c>
      <c r="X166" s="109">
        <v>400000</v>
      </c>
      <c r="Y166" s="29">
        <f t="shared" si="53"/>
        <v>300000</v>
      </c>
    </row>
    <row r="167" spans="1:25" ht="16.5" customHeight="1">
      <c r="A167" s="190" t="s">
        <v>232</v>
      </c>
      <c r="B167" s="191"/>
      <c r="C167" s="191"/>
      <c r="D167" s="191"/>
      <c r="E167" s="191"/>
      <c r="F167" s="192"/>
      <c r="G167" s="193" t="s">
        <v>41</v>
      </c>
      <c r="H167" s="194"/>
      <c r="I167" s="194"/>
      <c r="J167" s="194"/>
      <c r="K167" s="194"/>
      <c r="L167" s="194"/>
      <c r="M167" s="194"/>
      <c r="N167" s="194"/>
      <c r="O167" s="194"/>
      <c r="P167" s="194"/>
      <c r="Q167" s="194"/>
      <c r="R167" s="60">
        <f t="shared" si="54"/>
        <v>91000</v>
      </c>
      <c r="S167" s="104">
        <f>11000+3400</f>
        <v>14400</v>
      </c>
      <c r="T167" s="33">
        <f>11000+2400+90000-50000</f>
        <v>53400</v>
      </c>
      <c r="U167" s="33">
        <v>11000</v>
      </c>
      <c r="V167" s="104">
        <v>12200</v>
      </c>
      <c r="W167" s="60">
        <v>45200</v>
      </c>
      <c r="X167" s="109">
        <v>45200</v>
      </c>
      <c r="Y167" s="29">
        <f>SUM(S167:X167)</f>
        <v>181400</v>
      </c>
    </row>
    <row r="168" spans="1:25" ht="16.5" customHeight="1">
      <c r="A168" s="190" t="s">
        <v>233</v>
      </c>
      <c r="B168" s="191"/>
      <c r="C168" s="191"/>
      <c r="D168" s="191"/>
      <c r="E168" s="191"/>
      <c r="F168" s="192"/>
      <c r="G168" s="193" t="s">
        <v>42</v>
      </c>
      <c r="H168" s="194"/>
      <c r="I168" s="194"/>
      <c r="J168" s="194"/>
      <c r="K168" s="194"/>
      <c r="L168" s="194"/>
      <c r="M168" s="194"/>
      <c r="N168" s="194"/>
      <c r="O168" s="194"/>
      <c r="P168" s="194"/>
      <c r="Q168" s="194"/>
      <c r="R168" s="60">
        <f t="shared" si="54"/>
        <v>30000</v>
      </c>
      <c r="S168" s="104">
        <f>10000+25000-10000-15000</f>
        <v>10000</v>
      </c>
      <c r="T168" s="33">
        <f>8000+29000-29000</f>
        <v>8000</v>
      </c>
      <c r="U168" s="33">
        <f>4000+16000-16000</f>
        <v>4000</v>
      </c>
      <c r="V168" s="104">
        <f>8000+15000-15000</f>
        <v>8000</v>
      </c>
      <c r="W168" s="60">
        <v>30000</v>
      </c>
      <c r="X168" s="109">
        <v>30000</v>
      </c>
      <c r="Y168" s="29">
        <f t="shared" si="53"/>
        <v>30000</v>
      </c>
    </row>
    <row r="169" spans="1:25" ht="16.5" customHeight="1">
      <c r="A169" s="190" t="s">
        <v>234</v>
      </c>
      <c r="B169" s="191"/>
      <c r="C169" s="191"/>
      <c r="D169" s="191"/>
      <c r="E169" s="191"/>
      <c r="F169" s="192"/>
      <c r="G169" s="193" t="s">
        <v>76</v>
      </c>
      <c r="H169" s="194"/>
      <c r="I169" s="194"/>
      <c r="J169" s="194"/>
      <c r="K169" s="194"/>
      <c r="L169" s="194"/>
      <c r="M169" s="194"/>
      <c r="N169" s="194"/>
      <c r="O169" s="194"/>
      <c r="P169" s="194"/>
      <c r="Q169" s="194"/>
      <c r="R169" s="60">
        <f t="shared" si="54"/>
        <v>40000</v>
      </c>
      <c r="S169" s="104">
        <f>6000+20000+20000-17000-3000</f>
        <v>26000</v>
      </c>
      <c r="T169" s="33">
        <f>6000+10000-3000-7000</f>
        <v>6000</v>
      </c>
      <c r="U169" s="33">
        <f>2000+5000-5000</f>
        <v>2000</v>
      </c>
      <c r="V169" s="104">
        <f>6000+5000-5000</f>
        <v>6000</v>
      </c>
      <c r="W169" s="60">
        <v>20000</v>
      </c>
      <c r="X169" s="109">
        <v>20000</v>
      </c>
      <c r="Y169" s="29">
        <f t="shared" si="53"/>
        <v>40000</v>
      </c>
    </row>
    <row r="170" spans="1:25" ht="16.5" customHeight="1">
      <c r="A170" s="190" t="s">
        <v>235</v>
      </c>
      <c r="B170" s="191"/>
      <c r="C170" s="191"/>
      <c r="D170" s="191"/>
      <c r="E170" s="191"/>
      <c r="F170" s="192"/>
      <c r="G170" s="193" t="s">
        <v>43</v>
      </c>
      <c r="H170" s="194"/>
      <c r="I170" s="194"/>
      <c r="J170" s="194"/>
      <c r="K170" s="194"/>
      <c r="L170" s="194"/>
      <c r="M170" s="194"/>
      <c r="N170" s="194"/>
      <c r="O170" s="194"/>
      <c r="P170" s="194"/>
      <c r="Q170" s="194"/>
      <c r="R170" s="60">
        <f t="shared" si="54"/>
        <v>200000</v>
      </c>
      <c r="S170" s="104">
        <f>150000-150000</f>
        <v>0</v>
      </c>
      <c r="T170" s="33">
        <f>97100-40000+348000-405100</f>
        <v>0</v>
      </c>
      <c r="U170" s="33">
        <v>200000</v>
      </c>
      <c r="V170" s="104">
        <v>0</v>
      </c>
      <c r="W170" s="60">
        <v>0</v>
      </c>
      <c r="X170" s="109">
        <v>0</v>
      </c>
      <c r="Y170" s="29">
        <f t="shared" si="53"/>
        <v>200000</v>
      </c>
    </row>
    <row r="171" spans="1:25" ht="16.5" customHeight="1" hidden="1">
      <c r="A171" s="190" t="s">
        <v>236</v>
      </c>
      <c r="B171" s="191"/>
      <c r="C171" s="191"/>
      <c r="D171" s="191"/>
      <c r="E171" s="191"/>
      <c r="F171" s="192"/>
      <c r="G171" s="193" t="s">
        <v>77</v>
      </c>
      <c r="H171" s="194"/>
      <c r="I171" s="194"/>
      <c r="J171" s="194"/>
      <c r="K171" s="194"/>
      <c r="L171" s="194"/>
      <c r="M171" s="194"/>
      <c r="N171" s="194"/>
      <c r="O171" s="194"/>
      <c r="P171" s="194"/>
      <c r="Q171" s="194"/>
      <c r="R171" s="60">
        <f t="shared" si="54"/>
        <v>0</v>
      </c>
      <c r="S171" s="104"/>
      <c r="T171" s="33"/>
      <c r="U171" s="33"/>
      <c r="V171" s="104"/>
      <c r="W171" s="60">
        <v>0</v>
      </c>
      <c r="X171" s="109">
        <v>0</v>
      </c>
      <c r="Y171" s="29">
        <f t="shared" si="53"/>
        <v>0</v>
      </c>
    </row>
    <row r="172" spans="1:25" ht="16.5" customHeight="1" hidden="1">
      <c r="A172" s="190" t="s">
        <v>285</v>
      </c>
      <c r="B172" s="191"/>
      <c r="C172" s="191"/>
      <c r="D172" s="191"/>
      <c r="E172" s="191"/>
      <c r="F172" s="192"/>
      <c r="G172" s="193" t="s">
        <v>78</v>
      </c>
      <c r="H172" s="194"/>
      <c r="I172" s="194"/>
      <c r="J172" s="194"/>
      <c r="K172" s="194"/>
      <c r="L172" s="194"/>
      <c r="M172" s="194"/>
      <c r="N172" s="194"/>
      <c r="O172" s="194"/>
      <c r="P172" s="194"/>
      <c r="Q172" s="194"/>
      <c r="R172" s="60">
        <f t="shared" si="54"/>
        <v>0</v>
      </c>
      <c r="S172" s="104"/>
      <c r="T172" s="33"/>
      <c r="U172" s="33"/>
      <c r="V172" s="104"/>
      <c r="W172" s="60"/>
      <c r="X172" s="109"/>
      <c r="Y172" s="29">
        <f t="shared" si="53"/>
        <v>0</v>
      </c>
    </row>
    <row r="173" spans="1:25" ht="16.5" customHeight="1">
      <c r="A173" s="190" t="s">
        <v>236</v>
      </c>
      <c r="B173" s="191"/>
      <c r="C173" s="191"/>
      <c r="D173" s="191"/>
      <c r="E173" s="191"/>
      <c r="F173" s="192"/>
      <c r="G173" s="195" t="s">
        <v>75</v>
      </c>
      <c r="H173" s="196"/>
      <c r="I173" s="196"/>
      <c r="J173" s="196"/>
      <c r="K173" s="196"/>
      <c r="L173" s="196"/>
      <c r="M173" s="196"/>
      <c r="N173" s="196"/>
      <c r="O173" s="196"/>
      <c r="P173" s="196"/>
      <c r="Q173" s="196"/>
      <c r="R173" s="60">
        <f t="shared" si="54"/>
        <v>134200</v>
      </c>
      <c r="S173" s="104">
        <f>30000+10000-5800-9235-6896-3104</f>
        <v>14965</v>
      </c>
      <c r="T173" s="33">
        <f>30000+10000-765+50000-10000</f>
        <v>79235</v>
      </c>
      <c r="U173" s="33">
        <f>20000+10000-10000</f>
        <v>20000</v>
      </c>
      <c r="V173" s="104">
        <f>20000+10000-3104-6896</f>
        <v>20000</v>
      </c>
      <c r="W173" s="60">
        <v>100000</v>
      </c>
      <c r="X173" s="109">
        <v>100000</v>
      </c>
      <c r="Y173" s="29">
        <f t="shared" si="53"/>
        <v>134200</v>
      </c>
    </row>
    <row r="174" spans="1:25" s="51" customFormat="1" ht="26.25" customHeight="1">
      <c r="A174" s="181" t="s">
        <v>237</v>
      </c>
      <c r="B174" s="182"/>
      <c r="C174" s="182"/>
      <c r="D174" s="182"/>
      <c r="E174" s="182"/>
      <c r="F174" s="49"/>
      <c r="G174" s="202" t="s">
        <v>96</v>
      </c>
      <c r="H174" s="203"/>
      <c r="I174" s="203"/>
      <c r="J174" s="203"/>
      <c r="K174" s="203"/>
      <c r="L174" s="203"/>
      <c r="M174" s="203"/>
      <c r="N174" s="203"/>
      <c r="O174" s="203"/>
      <c r="P174" s="203"/>
      <c r="Q174" s="203"/>
      <c r="R174" s="57">
        <f>R175</f>
        <v>205000</v>
      </c>
      <c r="S174" s="99">
        <f aca="true" t="shared" si="55" ref="S174:X176">S175</f>
        <v>10000</v>
      </c>
      <c r="T174" s="53">
        <f t="shared" si="55"/>
        <v>20000</v>
      </c>
      <c r="U174" s="53">
        <f t="shared" si="55"/>
        <v>135000</v>
      </c>
      <c r="V174" s="99">
        <f t="shared" si="55"/>
        <v>40000</v>
      </c>
      <c r="W174" s="57">
        <f t="shared" si="55"/>
        <v>77040</v>
      </c>
      <c r="X174" s="107">
        <f t="shared" si="55"/>
        <v>77290</v>
      </c>
      <c r="Y174" s="50"/>
    </row>
    <row r="175" spans="1:25" s="3" customFormat="1" ht="26.25" customHeight="1">
      <c r="A175" s="185" t="s">
        <v>238</v>
      </c>
      <c r="B175" s="186"/>
      <c r="C175" s="186"/>
      <c r="D175" s="186"/>
      <c r="E175" s="186"/>
      <c r="F175" s="187"/>
      <c r="G175" s="188" t="s">
        <v>60</v>
      </c>
      <c r="H175" s="189"/>
      <c r="I175" s="189"/>
      <c r="J175" s="189"/>
      <c r="K175" s="189"/>
      <c r="L175" s="189"/>
      <c r="M175" s="189"/>
      <c r="N175" s="189"/>
      <c r="O175" s="189"/>
      <c r="P175" s="189"/>
      <c r="Q175" s="189"/>
      <c r="R175" s="58">
        <f>R176</f>
        <v>205000</v>
      </c>
      <c r="S175" s="103">
        <f>S177</f>
        <v>10000</v>
      </c>
      <c r="T175" s="31">
        <f>T177</f>
        <v>20000</v>
      </c>
      <c r="U175" s="31">
        <f>U177</f>
        <v>135000</v>
      </c>
      <c r="V175" s="103">
        <f>V177</f>
        <v>40000</v>
      </c>
      <c r="W175" s="58">
        <f t="shared" si="55"/>
        <v>77040</v>
      </c>
      <c r="X175" s="108">
        <f t="shared" si="55"/>
        <v>77290</v>
      </c>
      <c r="Y175" s="29">
        <f t="shared" si="53"/>
        <v>205000</v>
      </c>
    </row>
    <row r="176" spans="1:25" ht="16.5" customHeight="1">
      <c r="A176" s="190" t="s">
        <v>239</v>
      </c>
      <c r="B176" s="191"/>
      <c r="C176" s="191"/>
      <c r="D176" s="191"/>
      <c r="E176" s="191"/>
      <c r="F176" s="192"/>
      <c r="G176" s="193" t="s">
        <v>59</v>
      </c>
      <c r="H176" s="194"/>
      <c r="I176" s="194"/>
      <c r="J176" s="194"/>
      <c r="K176" s="194"/>
      <c r="L176" s="194"/>
      <c r="M176" s="194"/>
      <c r="N176" s="194"/>
      <c r="O176" s="194"/>
      <c r="P176" s="194"/>
      <c r="Q176" s="194"/>
      <c r="R176" s="59">
        <f>R177</f>
        <v>205000</v>
      </c>
      <c r="S176" s="70">
        <f>S177</f>
        <v>10000</v>
      </c>
      <c r="T176" s="32">
        <f>T177</f>
        <v>20000</v>
      </c>
      <c r="U176" s="32">
        <f>U177</f>
        <v>135000</v>
      </c>
      <c r="V176" s="70">
        <f>V177</f>
        <v>40000</v>
      </c>
      <c r="W176" s="59">
        <f t="shared" si="55"/>
        <v>77040</v>
      </c>
      <c r="X176" s="56">
        <f t="shared" si="55"/>
        <v>77290</v>
      </c>
      <c r="Y176" s="29">
        <f t="shared" si="53"/>
        <v>205000</v>
      </c>
    </row>
    <row r="177" spans="1:25" ht="16.5" customHeight="1">
      <c r="A177" s="190" t="s">
        <v>240</v>
      </c>
      <c r="B177" s="191"/>
      <c r="C177" s="191"/>
      <c r="D177" s="191"/>
      <c r="E177" s="191"/>
      <c r="F177" s="192"/>
      <c r="G177" s="193" t="s">
        <v>76</v>
      </c>
      <c r="H177" s="194"/>
      <c r="I177" s="194"/>
      <c r="J177" s="194"/>
      <c r="K177" s="194"/>
      <c r="L177" s="194"/>
      <c r="M177" s="194"/>
      <c r="N177" s="194"/>
      <c r="O177" s="194"/>
      <c r="P177" s="194"/>
      <c r="Q177" s="194"/>
      <c r="R177" s="60">
        <f>SUM(S177:V177)</f>
        <v>205000</v>
      </c>
      <c r="S177" s="104">
        <v>10000</v>
      </c>
      <c r="T177" s="33">
        <v>20000</v>
      </c>
      <c r="U177" s="33">
        <f>5000+130000</f>
        <v>135000</v>
      </c>
      <c r="V177" s="104">
        <v>40000</v>
      </c>
      <c r="W177" s="60">
        <v>77040</v>
      </c>
      <c r="X177" s="109">
        <v>77290</v>
      </c>
      <c r="Y177" s="29">
        <f>SUM(S177:X177)</f>
        <v>359330</v>
      </c>
    </row>
    <row r="178" spans="1:25" s="4" customFormat="1" ht="16.5" customHeight="1">
      <c r="A178" s="147" t="s">
        <v>253</v>
      </c>
      <c r="B178" s="148"/>
      <c r="C178" s="148"/>
      <c r="D178" s="148"/>
      <c r="E178" s="148"/>
      <c r="F178" s="178"/>
      <c r="G178" s="179" t="s">
        <v>61</v>
      </c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38">
        <f aca="true" t="shared" si="56" ref="R178:X178">R180+R195</f>
        <v>2598770</v>
      </c>
      <c r="S178" s="69">
        <f t="shared" si="56"/>
        <v>705875</v>
      </c>
      <c r="T178" s="30">
        <f t="shared" si="56"/>
        <v>864395</v>
      </c>
      <c r="U178" s="30">
        <f t="shared" si="56"/>
        <v>506000</v>
      </c>
      <c r="V178" s="69">
        <f t="shared" si="56"/>
        <v>522500</v>
      </c>
      <c r="W178" s="38">
        <f t="shared" si="56"/>
        <v>2392300</v>
      </c>
      <c r="X178" s="55">
        <f t="shared" si="56"/>
        <v>2399870</v>
      </c>
      <c r="Y178" s="29">
        <f t="shared" si="53"/>
        <v>2598770</v>
      </c>
    </row>
    <row r="179" spans="1:25" s="51" customFormat="1" ht="16.5" customHeight="1">
      <c r="A179" s="181" t="s">
        <v>254</v>
      </c>
      <c r="B179" s="182"/>
      <c r="C179" s="182"/>
      <c r="D179" s="182"/>
      <c r="E179" s="182"/>
      <c r="F179" s="49"/>
      <c r="G179" s="183" t="s">
        <v>97</v>
      </c>
      <c r="H179" s="184"/>
      <c r="I179" s="184"/>
      <c r="J179" s="184"/>
      <c r="K179" s="184"/>
      <c r="L179" s="184"/>
      <c r="M179" s="184"/>
      <c r="N179" s="184"/>
      <c r="O179" s="184"/>
      <c r="P179" s="184"/>
      <c r="Q179" s="184"/>
      <c r="R179" s="57">
        <f>R180</f>
        <v>2587270</v>
      </c>
      <c r="S179" s="99">
        <f aca="true" t="shared" si="57" ref="S179:X180">S180</f>
        <v>702875</v>
      </c>
      <c r="T179" s="53">
        <f t="shared" si="57"/>
        <v>860395</v>
      </c>
      <c r="U179" s="53">
        <f t="shared" si="57"/>
        <v>506000</v>
      </c>
      <c r="V179" s="99">
        <f t="shared" si="57"/>
        <v>518000</v>
      </c>
      <c r="W179" s="57">
        <f t="shared" si="57"/>
        <v>2380480</v>
      </c>
      <c r="X179" s="107">
        <f t="shared" si="57"/>
        <v>2388020</v>
      </c>
      <c r="Y179" s="50"/>
    </row>
    <row r="180" spans="1:25" s="3" customFormat="1" ht="16.5" customHeight="1">
      <c r="A180" s="185" t="s">
        <v>255</v>
      </c>
      <c r="B180" s="186"/>
      <c r="C180" s="186"/>
      <c r="D180" s="186"/>
      <c r="E180" s="186"/>
      <c r="F180" s="187"/>
      <c r="G180" s="188" t="s">
        <v>58</v>
      </c>
      <c r="H180" s="189"/>
      <c r="I180" s="189"/>
      <c r="J180" s="189"/>
      <c r="K180" s="189"/>
      <c r="L180" s="189"/>
      <c r="M180" s="189"/>
      <c r="N180" s="189"/>
      <c r="O180" s="189"/>
      <c r="P180" s="189"/>
      <c r="Q180" s="189"/>
      <c r="R180" s="58">
        <f>R181</f>
        <v>2587270</v>
      </c>
      <c r="S180" s="103">
        <f>S181</f>
        <v>702875</v>
      </c>
      <c r="T180" s="31">
        <f>T181</f>
        <v>860395</v>
      </c>
      <c r="U180" s="31">
        <f>U181</f>
        <v>506000</v>
      </c>
      <c r="V180" s="103">
        <f>V181</f>
        <v>518000</v>
      </c>
      <c r="W180" s="58">
        <f t="shared" si="57"/>
        <v>2380480</v>
      </c>
      <c r="X180" s="108">
        <f t="shared" si="57"/>
        <v>2388020</v>
      </c>
      <c r="Y180" s="29">
        <f t="shared" si="53"/>
        <v>2587270</v>
      </c>
    </row>
    <row r="181" spans="1:25" ht="16.5" customHeight="1">
      <c r="A181" s="190" t="s">
        <v>256</v>
      </c>
      <c r="B181" s="191"/>
      <c r="C181" s="191"/>
      <c r="D181" s="191"/>
      <c r="E181" s="191"/>
      <c r="F181" s="192"/>
      <c r="G181" s="193" t="s">
        <v>59</v>
      </c>
      <c r="H181" s="194"/>
      <c r="I181" s="194"/>
      <c r="J181" s="194"/>
      <c r="K181" s="194"/>
      <c r="L181" s="194"/>
      <c r="M181" s="194"/>
      <c r="N181" s="194"/>
      <c r="O181" s="194"/>
      <c r="P181" s="194"/>
      <c r="Q181" s="194"/>
      <c r="R181" s="59">
        <f>SUM(R182:R194)</f>
        <v>2587270</v>
      </c>
      <c r="S181" s="70">
        <f aca="true" t="shared" si="58" ref="S181:X181">SUM(S182:S194)</f>
        <v>702875</v>
      </c>
      <c r="T181" s="32">
        <f t="shared" si="58"/>
        <v>860395</v>
      </c>
      <c r="U181" s="32">
        <f t="shared" si="58"/>
        <v>506000</v>
      </c>
      <c r="V181" s="70">
        <f t="shared" si="58"/>
        <v>518000</v>
      </c>
      <c r="W181" s="59">
        <f>SUM(W182:W194)</f>
        <v>2380480</v>
      </c>
      <c r="X181" s="56">
        <f t="shared" si="58"/>
        <v>2388020</v>
      </c>
      <c r="Y181" s="29">
        <f t="shared" si="53"/>
        <v>2587270</v>
      </c>
    </row>
    <row r="182" spans="1:25" ht="16.5" customHeight="1">
      <c r="A182" s="190" t="s">
        <v>257</v>
      </c>
      <c r="B182" s="191"/>
      <c r="C182" s="191"/>
      <c r="D182" s="191"/>
      <c r="E182" s="191"/>
      <c r="F182" s="192"/>
      <c r="G182" s="193" t="s">
        <v>33</v>
      </c>
      <c r="H182" s="194"/>
      <c r="I182" s="194"/>
      <c r="J182" s="194"/>
      <c r="K182" s="194"/>
      <c r="L182" s="194"/>
      <c r="M182" s="194"/>
      <c r="N182" s="194"/>
      <c r="O182" s="194"/>
      <c r="P182" s="194"/>
      <c r="Q182" s="194"/>
      <c r="R182" s="60">
        <f aca="true" t="shared" si="59" ref="R182:R194">SUM(S182:V182)</f>
        <v>1540000</v>
      </c>
      <c r="S182" s="104">
        <v>361200</v>
      </c>
      <c r="T182" s="33">
        <v>512000</v>
      </c>
      <c r="U182" s="33">
        <v>343400</v>
      </c>
      <c r="V182" s="104">
        <v>323400</v>
      </c>
      <c r="W182" s="60">
        <v>1415000</v>
      </c>
      <c r="X182" s="109">
        <v>1420000</v>
      </c>
      <c r="Y182" s="29">
        <f>SUM(S182:X182)</f>
        <v>4375000</v>
      </c>
    </row>
    <row r="183" spans="1:25" ht="16.5" customHeight="1">
      <c r="A183" s="190" t="s">
        <v>258</v>
      </c>
      <c r="B183" s="191"/>
      <c r="C183" s="191"/>
      <c r="D183" s="191"/>
      <c r="E183" s="191"/>
      <c r="F183" s="192"/>
      <c r="G183" s="193" t="s">
        <v>37</v>
      </c>
      <c r="H183" s="194"/>
      <c r="I183" s="194"/>
      <c r="J183" s="194"/>
      <c r="K183" s="194"/>
      <c r="L183" s="194"/>
      <c r="M183" s="194"/>
      <c r="N183" s="194"/>
      <c r="O183" s="194"/>
      <c r="P183" s="194"/>
      <c r="Q183" s="194"/>
      <c r="R183" s="60">
        <f t="shared" si="59"/>
        <v>30000</v>
      </c>
      <c r="S183" s="104"/>
      <c r="T183" s="33">
        <v>30000</v>
      </c>
      <c r="U183" s="33"/>
      <c r="V183" s="104">
        <v>0</v>
      </c>
      <c r="W183" s="60"/>
      <c r="X183" s="109"/>
      <c r="Y183" s="29">
        <f t="shared" si="53"/>
        <v>30000</v>
      </c>
    </row>
    <row r="184" spans="1:25" ht="16.5" customHeight="1">
      <c r="A184" s="190" t="s">
        <v>259</v>
      </c>
      <c r="B184" s="191"/>
      <c r="C184" s="191"/>
      <c r="D184" s="191"/>
      <c r="E184" s="191"/>
      <c r="F184" s="192"/>
      <c r="G184" s="193" t="s">
        <v>34</v>
      </c>
      <c r="H184" s="194"/>
      <c r="I184" s="194"/>
      <c r="J184" s="194"/>
      <c r="K184" s="194"/>
      <c r="L184" s="194"/>
      <c r="M184" s="194"/>
      <c r="N184" s="194"/>
      <c r="O184" s="194"/>
      <c r="P184" s="194"/>
      <c r="Q184" s="194"/>
      <c r="R184" s="60">
        <f t="shared" si="59"/>
        <v>546470</v>
      </c>
      <c r="S184" s="104">
        <v>172300</v>
      </c>
      <c r="T184" s="33">
        <v>152970</v>
      </c>
      <c r="U184" s="33">
        <v>110600</v>
      </c>
      <c r="V184" s="104">
        <v>110600</v>
      </c>
      <c r="W184" s="60">
        <v>494680</v>
      </c>
      <c r="X184" s="109">
        <v>497220</v>
      </c>
      <c r="Y184" s="29">
        <f>SUM(S184:X184)</f>
        <v>1538370</v>
      </c>
    </row>
    <row r="185" spans="1:25" ht="16.5" customHeight="1">
      <c r="A185" s="190" t="s">
        <v>260</v>
      </c>
      <c r="B185" s="191"/>
      <c r="C185" s="191"/>
      <c r="D185" s="191"/>
      <c r="E185" s="191"/>
      <c r="F185" s="192"/>
      <c r="G185" s="193" t="s">
        <v>38</v>
      </c>
      <c r="H185" s="194"/>
      <c r="I185" s="194"/>
      <c r="J185" s="194"/>
      <c r="K185" s="194"/>
      <c r="L185" s="194"/>
      <c r="M185" s="194"/>
      <c r="N185" s="194"/>
      <c r="O185" s="194"/>
      <c r="P185" s="194"/>
      <c r="Q185" s="194"/>
      <c r="R185" s="60">
        <f t="shared" si="59"/>
        <v>7300</v>
      </c>
      <c r="S185" s="104">
        <f>2000+1300</f>
        <v>3300</v>
      </c>
      <c r="T185" s="33">
        <v>2000</v>
      </c>
      <c r="U185" s="33">
        <v>2000</v>
      </c>
      <c r="V185" s="104">
        <f>1300-1300</f>
        <v>0</v>
      </c>
      <c r="W185" s="60">
        <v>7300</v>
      </c>
      <c r="X185" s="109">
        <v>7300</v>
      </c>
      <c r="Y185" s="29">
        <f>SUM(S185:X185)</f>
        <v>21900</v>
      </c>
    </row>
    <row r="186" spans="1:25" ht="16.5" customHeight="1" hidden="1">
      <c r="A186" s="190" t="s">
        <v>286</v>
      </c>
      <c r="B186" s="191"/>
      <c r="C186" s="191"/>
      <c r="D186" s="191"/>
      <c r="E186" s="191"/>
      <c r="F186" s="192"/>
      <c r="G186" s="193" t="s">
        <v>39</v>
      </c>
      <c r="H186" s="194"/>
      <c r="I186" s="194"/>
      <c r="J186" s="194"/>
      <c r="K186" s="194"/>
      <c r="L186" s="194"/>
      <c r="M186" s="194"/>
      <c r="N186" s="194"/>
      <c r="O186" s="194"/>
      <c r="P186" s="194"/>
      <c r="Q186" s="194"/>
      <c r="R186" s="60">
        <f t="shared" si="59"/>
        <v>0</v>
      </c>
      <c r="S186" s="104"/>
      <c r="T186" s="33"/>
      <c r="U186" s="33"/>
      <c r="V186" s="104"/>
      <c r="W186" s="60"/>
      <c r="X186" s="109"/>
      <c r="Y186" s="29">
        <f t="shared" si="53"/>
        <v>0</v>
      </c>
    </row>
    <row r="187" spans="1:25" ht="16.5" customHeight="1">
      <c r="A187" s="190" t="s">
        <v>261</v>
      </c>
      <c r="B187" s="191"/>
      <c r="C187" s="191"/>
      <c r="D187" s="191"/>
      <c r="E187" s="191"/>
      <c r="F187" s="192"/>
      <c r="G187" s="193" t="s">
        <v>40</v>
      </c>
      <c r="H187" s="194"/>
      <c r="I187" s="194"/>
      <c r="J187" s="194"/>
      <c r="K187" s="194"/>
      <c r="L187" s="194"/>
      <c r="M187" s="194"/>
      <c r="N187" s="194"/>
      <c r="O187" s="194"/>
      <c r="P187" s="194"/>
      <c r="Q187" s="194"/>
      <c r="R187" s="60">
        <f t="shared" si="59"/>
        <v>410000</v>
      </c>
      <c r="S187" s="104">
        <v>150000</v>
      </c>
      <c r="T187" s="33">
        <v>150000</v>
      </c>
      <c r="U187" s="33">
        <v>40000</v>
      </c>
      <c r="V187" s="104">
        <v>70000</v>
      </c>
      <c r="W187" s="60">
        <v>410000</v>
      </c>
      <c r="X187" s="109">
        <v>410000</v>
      </c>
      <c r="Y187" s="29">
        <f>SUM(S187:X187)</f>
        <v>1230000</v>
      </c>
    </row>
    <row r="188" spans="1:25" ht="16.5" customHeight="1">
      <c r="A188" s="190" t="s">
        <v>262</v>
      </c>
      <c r="B188" s="191"/>
      <c r="C188" s="191"/>
      <c r="D188" s="191"/>
      <c r="E188" s="191"/>
      <c r="F188" s="192"/>
      <c r="G188" s="193" t="s">
        <v>41</v>
      </c>
      <c r="H188" s="194"/>
      <c r="I188" s="194"/>
      <c r="J188" s="194"/>
      <c r="K188" s="194"/>
      <c r="L188" s="194"/>
      <c r="M188" s="194"/>
      <c r="N188" s="194"/>
      <c r="O188" s="194"/>
      <c r="P188" s="194"/>
      <c r="Q188" s="194"/>
      <c r="R188" s="60">
        <f t="shared" si="59"/>
        <v>21425</v>
      </c>
      <c r="S188" s="104">
        <v>6000</v>
      </c>
      <c r="T188" s="33">
        <f>5000+425</f>
        <v>5425</v>
      </c>
      <c r="U188" s="33">
        <v>5000</v>
      </c>
      <c r="V188" s="104">
        <v>5000</v>
      </c>
      <c r="W188" s="60">
        <v>21000</v>
      </c>
      <c r="X188" s="109">
        <v>21000</v>
      </c>
      <c r="Y188" s="29">
        <f>SUM(S188:X188)</f>
        <v>63425</v>
      </c>
    </row>
    <row r="189" spans="1:25" ht="16.5" customHeight="1">
      <c r="A189" s="190" t="s">
        <v>263</v>
      </c>
      <c r="B189" s="191"/>
      <c r="C189" s="191"/>
      <c r="D189" s="191"/>
      <c r="E189" s="191"/>
      <c r="F189" s="192"/>
      <c r="G189" s="193" t="s">
        <v>42</v>
      </c>
      <c r="H189" s="194"/>
      <c r="I189" s="194"/>
      <c r="J189" s="194"/>
      <c r="K189" s="194"/>
      <c r="L189" s="194"/>
      <c r="M189" s="194"/>
      <c r="N189" s="194"/>
      <c r="O189" s="194"/>
      <c r="P189" s="194"/>
      <c r="Q189" s="194"/>
      <c r="R189" s="60">
        <f t="shared" si="59"/>
        <v>22075</v>
      </c>
      <c r="S189" s="104">
        <f>7500+3000-425-3000</f>
        <v>7075</v>
      </c>
      <c r="T189" s="33">
        <v>5000</v>
      </c>
      <c r="U189" s="33">
        <v>5000</v>
      </c>
      <c r="V189" s="104">
        <v>5000</v>
      </c>
      <c r="W189" s="60">
        <v>22500</v>
      </c>
      <c r="X189" s="109">
        <v>22500</v>
      </c>
      <c r="Y189" s="29">
        <f>SUM(S189:X189)</f>
        <v>67075</v>
      </c>
    </row>
    <row r="190" spans="1:25" ht="16.5" customHeight="1" hidden="1">
      <c r="A190" s="190" t="s">
        <v>287</v>
      </c>
      <c r="B190" s="191"/>
      <c r="C190" s="191"/>
      <c r="D190" s="191"/>
      <c r="E190" s="191"/>
      <c r="F190" s="192"/>
      <c r="G190" s="193" t="s">
        <v>88</v>
      </c>
      <c r="H190" s="194"/>
      <c r="I190" s="194"/>
      <c r="J190" s="194"/>
      <c r="K190" s="194"/>
      <c r="L190" s="194"/>
      <c r="M190" s="194"/>
      <c r="N190" s="194"/>
      <c r="O190" s="194"/>
      <c r="P190" s="194"/>
      <c r="Q190" s="194"/>
      <c r="R190" s="60">
        <f t="shared" si="59"/>
        <v>0</v>
      </c>
      <c r="S190" s="104"/>
      <c r="T190" s="33"/>
      <c r="U190" s="33"/>
      <c r="V190" s="104"/>
      <c r="W190" s="60"/>
      <c r="X190" s="109"/>
      <c r="Y190" s="29"/>
    </row>
    <row r="191" spans="1:25" ht="16.5" customHeight="1">
      <c r="A191" s="190" t="s">
        <v>264</v>
      </c>
      <c r="B191" s="191"/>
      <c r="C191" s="191"/>
      <c r="D191" s="191"/>
      <c r="E191" s="191"/>
      <c r="F191" s="192"/>
      <c r="G191" s="193" t="s">
        <v>76</v>
      </c>
      <c r="H191" s="194"/>
      <c r="I191" s="194"/>
      <c r="J191" s="194"/>
      <c r="K191" s="194"/>
      <c r="L191" s="194"/>
      <c r="M191" s="194"/>
      <c r="N191" s="194"/>
      <c r="O191" s="194"/>
      <c r="P191" s="194"/>
      <c r="Q191" s="194"/>
      <c r="R191" s="60">
        <f t="shared" si="59"/>
        <v>0</v>
      </c>
      <c r="S191" s="104">
        <f>5000-5000</f>
        <v>0</v>
      </c>
      <c r="T191" s="33">
        <f>4000-4000</f>
        <v>0</v>
      </c>
      <c r="U191" s="33">
        <v>0</v>
      </c>
      <c r="V191" s="104">
        <f>5000-5000</f>
        <v>0</v>
      </c>
      <c r="W191" s="60"/>
      <c r="X191" s="109"/>
      <c r="Y191" s="29">
        <f t="shared" si="53"/>
        <v>0</v>
      </c>
    </row>
    <row r="192" spans="1:25" ht="16.5" customHeight="1">
      <c r="A192" s="190" t="s">
        <v>265</v>
      </c>
      <c r="B192" s="191"/>
      <c r="C192" s="191"/>
      <c r="D192" s="191"/>
      <c r="E192" s="191"/>
      <c r="F192" s="192"/>
      <c r="G192" s="193" t="s">
        <v>43</v>
      </c>
      <c r="H192" s="194"/>
      <c r="I192" s="194"/>
      <c r="J192" s="194"/>
      <c r="K192" s="194"/>
      <c r="L192" s="194"/>
      <c r="M192" s="194"/>
      <c r="N192" s="194"/>
      <c r="O192" s="194"/>
      <c r="P192" s="194"/>
      <c r="Q192" s="194"/>
      <c r="R192" s="60">
        <f t="shared" si="59"/>
        <v>0</v>
      </c>
      <c r="S192" s="104">
        <f>14000-14000</f>
        <v>0</v>
      </c>
      <c r="T192" s="33">
        <f>15000-15000</f>
        <v>0</v>
      </c>
      <c r="U192" s="33">
        <v>0</v>
      </c>
      <c r="V192" s="104">
        <f>9000-9000</f>
        <v>0</v>
      </c>
      <c r="W192" s="60"/>
      <c r="X192" s="109"/>
      <c r="Y192" s="29">
        <f t="shared" si="53"/>
        <v>0</v>
      </c>
    </row>
    <row r="193" spans="1:25" ht="16.5" customHeight="1" hidden="1">
      <c r="A193" s="190" t="s">
        <v>288</v>
      </c>
      <c r="B193" s="191"/>
      <c r="C193" s="191"/>
      <c r="D193" s="191"/>
      <c r="E193" s="191"/>
      <c r="F193" s="192"/>
      <c r="G193" s="193" t="s">
        <v>78</v>
      </c>
      <c r="H193" s="194"/>
      <c r="I193" s="194"/>
      <c r="J193" s="194"/>
      <c r="K193" s="194"/>
      <c r="L193" s="194"/>
      <c r="M193" s="194"/>
      <c r="N193" s="194"/>
      <c r="O193" s="194"/>
      <c r="P193" s="194"/>
      <c r="Q193" s="194"/>
      <c r="R193" s="60">
        <f t="shared" si="59"/>
        <v>0</v>
      </c>
      <c r="S193" s="104"/>
      <c r="T193" s="33"/>
      <c r="U193" s="33"/>
      <c r="V193" s="104"/>
      <c r="W193" s="60"/>
      <c r="X193" s="109"/>
      <c r="Y193" s="29">
        <f t="shared" si="53"/>
        <v>0</v>
      </c>
    </row>
    <row r="194" spans="1:25" ht="16.5" customHeight="1">
      <c r="A194" s="190" t="s">
        <v>266</v>
      </c>
      <c r="B194" s="191"/>
      <c r="C194" s="191"/>
      <c r="D194" s="191"/>
      <c r="E194" s="191"/>
      <c r="F194" s="192"/>
      <c r="G194" s="195" t="s">
        <v>75</v>
      </c>
      <c r="H194" s="196"/>
      <c r="I194" s="196"/>
      <c r="J194" s="196"/>
      <c r="K194" s="196"/>
      <c r="L194" s="196"/>
      <c r="M194" s="196"/>
      <c r="N194" s="196"/>
      <c r="O194" s="196"/>
      <c r="P194" s="196"/>
      <c r="Q194" s="196"/>
      <c r="R194" s="60">
        <f t="shared" si="59"/>
        <v>10000</v>
      </c>
      <c r="S194" s="104">
        <f>3000+8000-8000</f>
        <v>3000</v>
      </c>
      <c r="T194" s="33">
        <f>3000+1000-1000</f>
        <v>3000</v>
      </c>
      <c r="U194" s="33">
        <v>0</v>
      </c>
      <c r="V194" s="104">
        <f>4000+1000-1000</f>
        <v>4000</v>
      </c>
      <c r="W194" s="60">
        <v>10000</v>
      </c>
      <c r="X194" s="109">
        <v>10000</v>
      </c>
      <c r="Y194" s="29">
        <f t="shared" si="53"/>
        <v>10000</v>
      </c>
    </row>
    <row r="195" spans="1:25" s="3" customFormat="1" ht="21" customHeight="1">
      <c r="A195" s="185" t="s">
        <v>267</v>
      </c>
      <c r="B195" s="186"/>
      <c r="C195" s="186"/>
      <c r="D195" s="186"/>
      <c r="E195" s="186"/>
      <c r="F195" s="187"/>
      <c r="G195" s="188" t="s">
        <v>62</v>
      </c>
      <c r="H195" s="189"/>
      <c r="I195" s="189"/>
      <c r="J195" s="189"/>
      <c r="K195" s="189"/>
      <c r="L195" s="189"/>
      <c r="M195" s="189"/>
      <c r="N195" s="189"/>
      <c r="O195" s="189"/>
      <c r="P195" s="189"/>
      <c r="Q195" s="189"/>
      <c r="R195" s="58">
        <f aca="true" t="shared" si="60" ref="R195:X195">R196</f>
        <v>11500</v>
      </c>
      <c r="S195" s="103">
        <f t="shared" si="60"/>
        <v>3000</v>
      </c>
      <c r="T195" s="31">
        <f t="shared" si="60"/>
        <v>4000</v>
      </c>
      <c r="U195" s="31">
        <f t="shared" si="60"/>
        <v>0</v>
      </c>
      <c r="V195" s="103">
        <f t="shared" si="60"/>
        <v>4500</v>
      </c>
      <c r="W195" s="58">
        <f t="shared" si="60"/>
        <v>11820</v>
      </c>
      <c r="X195" s="108">
        <f t="shared" si="60"/>
        <v>11850</v>
      </c>
      <c r="Y195" s="29">
        <f aca="true" t="shared" si="61" ref="Y195:Y206">SUM(S195:V195)</f>
        <v>11500</v>
      </c>
    </row>
    <row r="196" spans="1:25" ht="16.5" customHeight="1">
      <c r="A196" s="190" t="s">
        <v>268</v>
      </c>
      <c r="B196" s="191"/>
      <c r="C196" s="191"/>
      <c r="D196" s="191"/>
      <c r="E196" s="191"/>
      <c r="F196" s="192"/>
      <c r="G196" s="193" t="s">
        <v>63</v>
      </c>
      <c r="H196" s="194"/>
      <c r="I196" s="194"/>
      <c r="J196" s="194"/>
      <c r="K196" s="194"/>
      <c r="L196" s="194"/>
      <c r="M196" s="194"/>
      <c r="N196" s="194"/>
      <c r="O196" s="194"/>
      <c r="P196" s="194"/>
      <c r="Q196" s="194"/>
      <c r="R196" s="59">
        <f>SUM(R197:R199)</f>
        <v>11500</v>
      </c>
      <c r="S196" s="70">
        <f aca="true" t="shared" si="62" ref="S196:X196">SUM(S197:S199)</f>
        <v>3000</v>
      </c>
      <c r="T196" s="32">
        <f t="shared" si="62"/>
        <v>4000</v>
      </c>
      <c r="U196" s="32">
        <f t="shared" si="62"/>
        <v>0</v>
      </c>
      <c r="V196" s="70">
        <f t="shared" si="62"/>
        <v>4500</v>
      </c>
      <c r="W196" s="59">
        <f t="shared" si="62"/>
        <v>11820</v>
      </c>
      <c r="X196" s="56">
        <f t="shared" si="62"/>
        <v>11850</v>
      </c>
      <c r="Y196" s="29">
        <f t="shared" si="61"/>
        <v>11500</v>
      </c>
    </row>
    <row r="197" spans="1:25" ht="16.5" customHeight="1" hidden="1">
      <c r="A197" s="190" t="s">
        <v>289</v>
      </c>
      <c r="B197" s="191"/>
      <c r="C197" s="191"/>
      <c r="D197" s="191"/>
      <c r="E197" s="191"/>
      <c r="F197" s="192"/>
      <c r="G197" s="193" t="s">
        <v>42</v>
      </c>
      <c r="H197" s="194"/>
      <c r="I197" s="194"/>
      <c r="J197" s="194"/>
      <c r="K197" s="194"/>
      <c r="L197" s="194"/>
      <c r="M197" s="194"/>
      <c r="N197" s="194"/>
      <c r="O197" s="194"/>
      <c r="P197" s="194"/>
      <c r="Q197" s="194"/>
      <c r="R197" s="60">
        <f>SUM(S197:V197)</f>
        <v>0</v>
      </c>
      <c r="S197" s="63"/>
      <c r="T197" s="33"/>
      <c r="U197" s="33"/>
      <c r="V197" s="47"/>
      <c r="W197" s="60"/>
      <c r="X197" s="109"/>
      <c r="Y197" s="29">
        <f t="shared" si="61"/>
        <v>0</v>
      </c>
    </row>
    <row r="198" spans="1:25" ht="16.5" customHeight="1" thickBot="1">
      <c r="A198" s="190" t="s">
        <v>269</v>
      </c>
      <c r="B198" s="191"/>
      <c r="C198" s="191"/>
      <c r="D198" s="191"/>
      <c r="E198" s="191"/>
      <c r="F198" s="192"/>
      <c r="G198" s="193" t="s">
        <v>76</v>
      </c>
      <c r="H198" s="194"/>
      <c r="I198" s="194"/>
      <c r="J198" s="194"/>
      <c r="K198" s="194"/>
      <c r="L198" s="194"/>
      <c r="M198" s="194"/>
      <c r="N198" s="194"/>
      <c r="O198" s="194"/>
      <c r="P198" s="194"/>
      <c r="Q198" s="194"/>
      <c r="R198" s="60">
        <f>SUM(S198:V198)</f>
        <v>11500</v>
      </c>
      <c r="S198" s="63">
        <v>3000</v>
      </c>
      <c r="T198" s="33">
        <v>4000</v>
      </c>
      <c r="U198" s="33">
        <f>1000-1000</f>
        <v>0</v>
      </c>
      <c r="V198" s="47">
        <v>4500</v>
      </c>
      <c r="W198" s="114">
        <v>11820</v>
      </c>
      <c r="X198" s="109">
        <v>11850</v>
      </c>
      <c r="Y198" s="29">
        <f>SUM(S198:X198)</f>
        <v>35170</v>
      </c>
    </row>
    <row r="199" spans="1:25" ht="16.5" customHeight="1" hidden="1">
      <c r="A199" s="190" t="s">
        <v>290</v>
      </c>
      <c r="B199" s="191"/>
      <c r="C199" s="191"/>
      <c r="D199" s="191"/>
      <c r="E199" s="191"/>
      <c r="F199" s="192"/>
      <c r="G199" s="220" t="s">
        <v>78</v>
      </c>
      <c r="H199" s="221"/>
      <c r="I199" s="221"/>
      <c r="J199" s="221"/>
      <c r="K199" s="221"/>
      <c r="L199" s="221"/>
      <c r="M199" s="221"/>
      <c r="N199" s="221"/>
      <c r="O199" s="221"/>
      <c r="P199" s="221"/>
      <c r="Q199" s="221"/>
      <c r="R199" s="60">
        <f>SUM(S199:V199)</f>
        <v>0</v>
      </c>
      <c r="S199" s="63"/>
      <c r="T199" s="33"/>
      <c r="U199" s="33"/>
      <c r="V199" s="47"/>
      <c r="W199" s="113"/>
      <c r="X199" s="60"/>
      <c r="Y199" s="29">
        <f t="shared" si="61"/>
        <v>0</v>
      </c>
    </row>
    <row r="200" spans="1:25" s="4" customFormat="1" ht="16.5" customHeight="1">
      <c r="A200" s="147" t="s">
        <v>241</v>
      </c>
      <c r="B200" s="148"/>
      <c r="C200" s="148"/>
      <c r="D200" s="148"/>
      <c r="E200" s="148"/>
      <c r="F200" s="178"/>
      <c r="G200" s="222" t="s">
        <v>64</v>
      </c>
      <c r="H200" s="223"/>
      <c r="I200" s="223"/>
      <c r="J200" s="223"/>
      <c r="K200" s="223"/>
      <c r="L200" s="223"/>
      <c r="M200" s="223"/>
      <c r="N200" s="223"/>
      <c r="O200" s="223"/>
      <c r="P200" s="223"/>
      <c r="Q200" s="223"/>
      <c r="R200" s="38">
        <f aca="true" t="shared" si="63" ref="R200:X200">R204+R201</f>
        <v>56000</v>
      </c>
      <c r="S200" s="69">
        <f t="shared" si="63"/>
        <v>14000</v>
      </c>
      <c r="T200" s="30">
        <f t="shared" si="63"/>
        <v>14000</v>
      </c>
      <c r="U200" s="30">
        <f t="shared" si="63"/>
        <v>14000</v>
      </c>
      <c r="V200" s="69">
        <f t="shared" si="63"/>
        <v>14000</v>
      </c>
      <c r="W200" s="38">
        <f t="shared" si="63"/>
        <v>0</v>
      </c>
      <c r="X200" s="38">
        <f t="shared" si="63"/>
        <v>0</v>
      </c>
      <c r="Y200" s="29">
        <f>SUM(S200:V200)</f>
        <v>56000</v>
      </c>
    </row>
    <row r="201" spans="1:25" s="4" customFormat="1" ht="16.5" customHeight="1">
      <c r="A201" s="185" t="s">
        <v>242</v>
      </c>
      <c r="B201" s="186"/>
      <c r="C201" s="186"/>
      <c r="D201" s="186"/>
      <c r="E201" s="186"/>
      <c r="F201" s="187"/>
      <c r="G201" s="224" t="s">
        <v>65</v>
      </c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58">
        <f>R202</f>
        <v>56000</v>
      </c>
      <c r="S201" s="61">
        <f aca="true" t="shared" si="64" ref="S201:X202">S202</f>
        <v>14000</v>
      </c>
      <c r="T201" s="31">
        <f t="shared" si="64"/>
        <v>14000</v>
      </c>
      <c r="U201" s="31">
        <f t="shared" si="64"/>
        <v>14000</v>
      </c>
      <c r="V201" s="35">
        <f t="shared" si="64"/>
        <v>14000</v>
      </c>
      <c r="W201" s="58">
        <f t="shared" si="64"/>
        <v>0</v>
      </c>
      <c r="X201" s="58">
        <f t="shared" si="64"/>
        <v>0</v>
      </c>
      <c r="Y201" s="29">
        <f>SUM(S201:V201)</f>
        <v>56000</v>
      </c>
    </row>
    <row r="202" spans="1:25" s="4" customFormat="1" ht="16.5" customHeight="1">
      <c r="A202" s="190" t="s">
        <v>243</v>
      </c>
      <c r="B202" s="191"/>
      <c r="C202" s="191"/>
      <c r="D202" s="191"/>
      <c r="E202" s="191"/>
      <c r="F202" s="192"/>
      <c r="G202" s="220" t="s">
        <v>66</v>
      </c>
      <c r="H202" s="221"/>
      <c r="I202" s="221"/>
      <c r="J202" s="221"/>
      <c r="K202" s="221"/>
      <c r="L202" s="221"/>
      <c r="M202" s="221"/>
      <c r="N202" s="221"/>
      <c r="O202" s="221"/>
      <c r="P202" s="221"/>
      <c r="Q202" s="221"/>
      <c r="R202" s="59">
        <f>R203</f>
        <v>56000</v>
      </c>
      <c r="S202" s="62">
        <f t="shared" si="64"/>
        <v>14000</v>
      </c>
      <c r="T202" s="32">
        <f t="shared" si="64"/>
        <v>14000</v>
      </c>
      <c r="U202" s="32">
        <f t="shared" si="64"/>
        <v>14000</v>
      </c>
      <c r="V202" s="36">
        <f t="shared" si="64"/>
        <v>14000</v>
      </c>
      <c r="W202" s="59">
        <f t="shared" si="64"/>
        <v>0</v>
      </c>
      <c r="X202" s="59">
        <f t="shared" si="64"/>
        <v>0</v>
      </c>
      <c r="Y202" s="29">
        <f>SUM(S202:V202)</f>
        <v>56000</v>
      </c>
    </row>
    <row r="203" spans="1:25" s="4" customFormat="1" ht="16.5" customHeight="1" thickBot="1">
      <c r="A203" s="226" t="s">
        <v>244</v>
      </c>
      <c r="B203" s="227"/>
      <c r="C203" s="227"/>
      <c r="D203" s="227"/>
      <c r="E203" s="227"/>
      <c r="F203" s="228"/>
      <c r="G203" s="229" t="s">
        <v>67</v>
      </c>
      <c r="H203" s="230"/>
      <c r="I203" s="230"/>
      <c r="J203" s="230"/>
      <c r="K203" s="230"/>
      <c r="L203" s="230"/>
      <c r="M203" s="230"/>
      <c r="N203" s="230"/>
      <c r="O203" s="230"/>
      <c r="P203" s="230"/>
      <c r="Q203" s="230"/>
      <c r="R203" s="60">
        <f>SUM(S203:V203)</f>
        <v>56000</v>
      </c>
      <c r="S203" s="63">
        <v>14000</v>
      </c>
      <c r="T203" s="33">
        <v>14000</v>
      </c>
      <c r="U203" s="33">
        <v>14000</v>
      </c>
      <c r="V203" s="47">
        <v>14000</v>
      </c>
      <c r="W203" s="60">
        <v>0</v>
      </c>
      <c r="X203" s="60">
        <v>0</v>
      </c>
      <c r="Y203" s="29">
        <f>SUM(S203:X203)</f>
        <v>56000</v>
      </c>
    </row>
    <row r="204" spans="1:25" s="3" customFormat="1" ht="16.5" customHeight="1" hidden="1">
      <c r="A204" s="185" t="s">
        <v>291</v>
      </c>
      <c r="B204" s="186"/>
      <c r="C204" s="186"/>
      <c r="D204" s="186"/>
      <c r="E204" s="186"/>
      <c r="F204" s="187"/>
      <c r="G204" s="231" t="s">
        <v>83</v>
      </c>
      <c r="H204" s="232"/>
      <c r="I204" s="232"/>
      <c r="J204" s="232"/>
      <c r="K204" s="232"/>
      <c r="L204" s="232"/>
      <c r="M204" s="232"/>
      <c r="N204" s="232"/>
      <c r="O204" s="232"/>
      <c r="P204" s="232"/>
      <c r="Q204" s="232"/>
      <c r="R204" s="58">
        <f>R205</f>
        <v>0</v>
      </c>
      <c r="S204" s="64">
        <f aca="true" t="shared" si="65" ref="S204:V205">S205</f>
        <v>0</v>
      </c>
      <c r="T204" s="37">
        <f t="shared" si="65"/>
        <v>0</v>
      </c>
      <c r="U204" s="37">
        <f t="shared" si="65"/>
        <v>0</v>
      </c>
      <c r="V204" s="84">
        <f t="shared" si="65"/>
        <v>0</v>
      </c>
      <c r="W204" s="86"/>
      <c r="X204" s="86"/>
      <c r="Y204" s="29">
        <f t="shared" si="61"/>
        <v>0</v>
      </c>
    </row>
    <row r="205" spans="1:25" ht="16.5" customHeight="1" hidden="1">
      <c r="A205" s="190" t="s">
        <v>292</v>
      </c>
      <c r="B205" s="191"/>
      <c r="C205" s="191"/>
      <c r="D205" s="191"/>
      <c r="E205" s="191"/>
      <c r="F205" s="192"/>
      <c r="G205" s="231" t="s">
        <v>46</v>
      </c>
      <c r="H205" s="232"/>
      <c r="I205" s="232"/>
      <c r="J205" s="232"/>
      <c r="K205" s="232"/>
      <c r="L205" s="232"/>
      <c r="M205" s="232"/>
      <c r="N205" s="232"/>
      <c r="O205" s="232"/>
      <c r="P205" s="232"/>
      <c r="Q205" s="232"/>
      <c r="R205" s="59">
        <f>R206</f>
        <v>0</v>
      </c>
      <c r="S205" s="62">
        <f t="shared" si="65"/>
        <v>0</v>
      </c>
      <c r="T205" s="32">
        <f t="shared" si="65"/>
        <v>0</v>
      </c>
      <c r="U205" s="32">
        <f t="shared" si="65"/>
        <v>0</v>
      </c>
      <c r="V205" s="36">
        <f t="shared" si="65"/>
        <v>0</v>
      </c>
      <c r="W205" s="87"/>
      <c r="X205" s="87"/>
      <c r="Y205" s="29">
        <f t="shared" si="61"/>
        <v>0</v>
      </c>
    </row>
    <row r="206" spans="1:25" ht="16.5" customHeight="1" hidden="1" thickBot="1">
      <c r="A206" s="226" t="s">
        <v>293</v>
      </c>
      <c r="B206" s="227"/>
      <c r="C206" s="227"/>
      <c r="D206" s="227"/>
      <c r="E206" s="227"/>
      <c r="F206" s="228"/>
      <c r="G206" s="233" t="s">
        <v>42</v>
      </c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  <c r="R206" s="60">
        <f>SUM(S206:V206)</f>
        <v>0</v>
      </c>
      <c r="S206" s="65"/>
      <c r="T206" s="34"/>
      <c r="U206" s="34"/>
      <c r="V206" s="85"/>
      <c r="W206" s="88"/>
      <c r="X206" s="88"/>
      <c r="Y206" s="29">
        <f t="shared" si="61"/>
        <v>0</v>
      </c>
    </row>
    <row r="207" spans="1:25" ht="18.75" customHeight="1" thickBot="1">
      <c r="A207" s="235" t="s">
        <v>68</v>
      </c>
      <c r="B207" s="236"/>
      <c r="C207" s="236"/>
      <c r="D207" s="236"/>
      <c r="E207" s="236"/>
      <c r="F207" s="236"/>
      <c r="G207" s="236"/>
      <c r="H207" s="236"/>
      <c r="I207" s="236"/>
      <c r="J207" s="236"/>
      <c r="K207" s="236"/>
      <c r="L207" s="236"/>
      <c r="M207" s="236"/>
      <c r="N207" s="236"/>
      <c r="O207" s="236"/>
      <c r="P207" s="236"/>
      <c r="Q207" s="236"/>
      <c r="R207" s="98">
        <f>R200+R178+R157+R152+R120+R115+R107+R101+R89+R67+R49+R45+R39+R23+R17+R81</f>
        <v>18196764.79</v>
      </c>
      <c r="S207" s="105">
        <f aca="true" t="shared" si="66" ref="S207:X207">S200+S178+S157+S152+S120+S115+S107+S101+S89+S67+S49+S45+S39+S23+S17+S81</f>
        <v>5256654</v>
      </c>
      <c r="T207" s="98">
        <f t="shared" si="66"/>
        <v>6931374.85</v>
      </c>
      <c r="U207" s="98">
        <f t="shared" si="66"/>
        <v>4805958.9399999995</v>
      </c>
      <c r="V207" s="98">
        <f t="shared" si="66"/>
        <v>1202777</v>
      </c>
      <c r="W207" s="98">
        <f t="shared" si="66"/>
        <v>15332000</v>
      </c>
      <c r="X207" s="98">
        <f t="shared" si="66"/>
        <v>15784000</v>
      </c>
      <c r="Y207" s="29">
        <f>SUM(S207:V207)</f>
        <v>18196764.79</v>
      </c>
    </row>
    <row r="208" spans="1:25" ht="15" customHeight="1">
      <c r="A208" s="237"/>
      <c r="B208" s="237"/>
      <c r="C208" s="237"/>
      <c r="D208" s="237"/>
      <c r="E208" s="237"/>
      <c r="F208" s="237"/>
      <c r="G208" s="237"/>
      <c r="H208" s="237"/>
      <c r="I208" s="237"/>
      <c r="J208" s="237"/>
      <c r="K208" s="237"/>
      <c r="L208" s="237"/>
      <c r="M208" s="237"/>
      <c r="N208" s="237"/>
      <c r="O208" s="237"/>
      <c r="P208" s="237"/>
      <c r="Q208" s="237"/>
      <c r="R208" s="237"/>
      <c r="S208" s="237"/>
      <c r="T208" s="237"/>
      <c r="U208" s="237"/>
      <c r="V208" s="237"/>
      <c r="W208" s="45"/>
      <c r="X208" s="45"/>
      <c r="Y208" s="6">
        <f>R207-Y207</f>
        <v>0</v>
      </c>
    </row>
    <row r="209" spans="1:24" ht="15" customHeight="1">
      <c r="A209" s="238" t="s">
        <v>86</v>
      </c>
      <c r="B209" s="238"/>
      <c r="C209" s="238"/>
      <c r="D209" s="238"/>
      <c r="E209" s="238"/>
      <c r="F209" s="238"/>
      <c r="G209" s="238"/>
      <c r="H209" s="238"/>
      <c r="I209" s="238"/>
      <c r="J209" s="238"/>
      <c r="K209" s="238"/>
      <c r="L209" s="238"/>
      <c r="M209" s="238"/>
      <c r="N209" s="239" t="s">
        <v>87</v>
      </c>
      <c r="O209" s="239"/>
      <c r="P209" s="239"/>
      <c r="Q209" s="239"/>
      <c r="R209" s="239"/>
      <c r="S209" s="240"/>
      <c r="T209" s="240"/>
      <c r="U209" s="240"/>
      <c r="V209" s="240"/>
      <c r="W209" s="2"/>
      <c r="X209" s="2"/>
    </row>
    <row r="210" spans="1:24" ht="9.75" customHeight="1">
      <c r="A210" s="240"/>
      <c r="B210" s="240"/>
      <c r="C210" s="240"/>
      <c r="D210" s="240"/>
      <c r="E210" s="240"/>
      <c r="F210" s="240"/>
      <c r="G210" s="240"/>
      <c r="H210" s="240"/>
      <c r="I210" s="240"/>
      <c r="J210" s="2"/>
      <c r="K210" s="241" t="s">
        <v>69</v>
      </c>
      <c r="L210" s="241"/>
      <c r="M210" s="25"/>
      <c r="N210" s="242"/>
      <c r="O210" s="242"/>
      <c r="P210" s="241" t="s">
        <v>70</v>
      </c>
      <c r="Q210" s="241"/>
      <c r="R210" s="241"/>
      <c r="S210" s="240"/>
      <c r="T210" s="240"/>
      <c r="U210" s="240"/>
      <c r="V210" s="240"/>
      <c r="W210" s="2"/>
      <c r="X210" s="2"/>
    </row>
    <row r="211" spans="1:24" ht="18" customHeight="1">
      <c r="A211" s="238" t="s">
        <v>79</v>
      </c>
      <c r="B211" s="238"/>
      <c r="C211" s="238"/>
      <c r="D211" s="238"/>
      <c r="E211" s="238"/>
      <c r="F211" s="238"/>
      <c r="G211" s="238"/>
      <c r="H211" s="238"/>
      <c r="I211" s="238"/>
      <c r="J211" s="238"/>
      <c r="K211" s="238"/>
      <c r="L211" s="238"/>
      <c r="M211" s="238"/>
      <c r="N211" s="239" t="s">
        <v>80</v>
      </c>
      <c r="O211" s="239"/>
      <c r="P211" s="239"/>
      <c r="Q211" s="239"/>
      <c r="R211" s="239"/>
      <c r="S211" s="240"/>
      <c r="T211" s="240"/>
      <c r="U211" s="240"/>
      <c r="V211" s="240"/>
      <c r="W211" s="2"/>
      <c r="X211" s="2"/>
    </row>
    <row r="212" spans="1:24" ht="9" customHeight="1">
      <c r="A212" s="240"/>
      <c r="B212" s="240"/>
      <c r="C212" s="240"/>
      <c r="D212" s="240"/>
      <c r="E212" s="240"/>
      <c r="F212" s="240"/>
      <c r="G212" s="240"/>
      <c r="H212" s="240"/>
      <c r="I212" s="240"/>
      <c r="J212" s="2"/>
      <c r="K212" s="241" t="s">
        <v>69</v>
      </c>
      <c r="L212" s="241"/>
      <c r="M212" s="25"/>
      <c r="N212" s="242"/>
      <c r="O212" s="242"/>
      <c r="P212" s="241" t="s">
        <v>70</v>
      </c>
      <c r="Q212" s="241"/>
      <c r="R212" s="241"/>
      <c r="S212" s="240"/>
      <c r="T212" s="240"/>
      <c r="U212" s="240"/>
      <c r="V212" s="240"/>
      <c r="W212" s="2"/>
      <c r="X212" s="2"/>
    </row>
    <row r="213" spans="1:24" ht="12" customHeight="1">
      <c r="A213" s="245">
        <f>V4</f>
        <v>40788</v>
      </c>
      <c r="B213" s="246"/>
      <c r="C213" s="246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43"/>
      <c r="X213" s="43"/>
    </row>
    <row r="214" spans="1:24" ht="16.5" customHeight="1">
      <c r="A214" s="241" t="s">
        <v>71</v>
      </c>
      <c r="B214" s="241"/>
      <c r="C214" s="247"/>
      <c r="D214" s="247"/>
      <c r="E214" s="247"/>
      <c r="F214" s="247"/>
      <c r="G214" s="247"/>
      <c r="H214" s="247"/>
      <c r="I214" s="247"/>
      <c r="J214" s="247"/>
      <c r="K214" s="247"/>
      <c r="L214" s="247"/>
      <c r="M214" s="247"/>
      <c r="N214" s="247"/>
      <c r="O214" s="247"/>
      <c r="P214" s="247"/>
      <c r="Q214" s="247"/>
      <c r="R214" s="247"/>
      <c r="S214" s="247"/>
      <c r="T214" s="247"/>
      <c r="U214" s="247"/>
      <c r="V214" s="247"/>
      <c r="W214" s="43"/>
      <c r="X214" s="43"/>
    </row>
    <row r="215" spans="1:24" ht="16.5" customHeight="1">
      <c r="A215" s="248"/>
      <c r="B215" s="248"/>
      <c r="C215" s="248"/>
      <c r="D215" s="248"/>
      <c r="E215" s="248"/>
      <c r="F215" s="248"/>
      <c r="G215" s="248"/>
      <c r="H215" s="248"/>
      <c r="I215" s="248"/>
      <c r="J215" s="248"/>
      <c r="K215" s="248"/>
      <c r="L215" s="248"/>
      <c r="M215" s="248"/>
      <c r="N215" s="248"/>
      <c r="O215" s="248"/>
      <c r="P215" s="248"/>
      <c r="Q215" s="248"/>
      <c r="R215" s="248"/>
      <c r="S215" s="248"/>
      <c r="T215" s="248"/>
      <c r="U215" s="248"/>
      <c r="V215" s="248"/>
      <c r="W215" s="45"/>
      <c r="X215" s="45"/>
    </row>
    <row r="216" ht="16.5" customHeight="1"/>
    <row r="223" ht="12.75">
      <c r="R223" s="1" t="s">
        <v>73</v>
      </c>
    </row>
  </sheetData>
  <mergeCells count="428">
    <mergeCell ref="A97:F97"/>
    <mergeCell ref="G97:Q97"/>
    <mergeCell ref="A98:F98"/>
    <mergeCell ref="G98:Q98"/>
    <mergeCell ref="A96:F96"/>
    <mergeCell ref="G96:Q96"/>
    <mergeCell ref="G53:Q53"/>
    <mergeCell ref="A131:F131"/>
    <mergeCell ref="G131:Q131"/>
    <mergeCell ref="A119:F119"/>
    <mergeCell ref="G119:Q119"/>
    <mergeCell ref="A124:F124"/>
    <mergeCell ref="G124:Q124"/>
    <mergeCell ref="A120:F120"/>
    <mergeCell ref="A130:F130"/>
    <mergeCell ref="G130:Q130"/>
    <mergeCell ref="A135:F135"/>
    <mergeCell ref="G135:Q135"/>
    <mergeCell ref="G132:Q132"/>
    <mergeCell ref="A128:F128"/>
    <mergeCell ref="G128:Q128"/>
    <mergeCell ref="A129:F129"/>
    <mergeCell ref="G129:Q129"/>
    <mergeCell ref="A113:F113"/>
    <mergeCell ref="G113:Q113"/>
    <mergeCell ref="A125:F125"/>
    <mergeCell ref="G125:Q125"/>
    <mergeCell ref="G120:Q120"/>
    <mergeCell ref="A122:F122"/>
    <mergeCell ref="G122:Q122"/>
    <mergeCell ref="A123:F123"/>
    <mergeCell ref="G123:Q123"/>
    <mergeCell ref="A116:F116"/>
    <mergeCell ref="G116:Q116"/>
    <mergeCell ref="A134:F134"/>
    <mergeCell ref="G134:Q134"/>
    <mergeCell ref="A126:F126"/>
    <mergeCell ref="G126:Q126"/>
    <mergeCell ref="A127:F127"/>
    <mergeCell ref="G127:Q127"/>
    <mergeCell ref="A133:F133"/>
    <mergeCell ref="G133:Q133"/>
    <mergeCell ref="A132:F132"/>
    <mergeCell ref="A67:F67"/>
    <mergeCell ref="G67:Q67"/>
    <mergeCell ref="A115:F115"/>
    <mergeCell ref="G115:Q115"/>
    <mergeCell ref="A110:F110"/>
    <mergeCell ref="G110:Q110"/>
    <mergeCell ref="A112:F112"/>
    <mergeCell ref="G112:Q112"/>
    <mergeCell ref="A111:F111"/>
    <mergeCell ref="G111:Q111"/>
    <mergeCell ref="A46:F46"/>
    <mergeCell ref="G46:Q46"/>
    <mergeCell ref="A54:F54"/>
    <mergeCell ref="G54:Q54"/>
    <mergeCell ref="A52:F52"/>
    <mergeCell ref="G52:Q52"/>
    <mergeCell ref="A49:F49"/>
    <mergeCell ref="G49:Q49"/>
    <mergeCell ref="A50:E50"/>
    <mergeCell ref="G50:Q50"/>
    <mergeCell ref="A44:F44"/>
    <mergeCell ref="G44:Q44"/>
    <mergeCell ref="A45:F45"/>
    <mergeCell ref="G45:Q45"/>
    <mergeCell ref="W13:W14"/>
    <mergeCell ref="X13:X14"/>
    <mergeCell ref="A43:F43"/>
    <mergeCell ref="G43:Q43"/>
    <mergeCell ref="A41:F41"/>
    <mergeCell ref="G41:Q41"/>
    <mergeCell ref="G13:Q14"/>
    <mergeCell ref="R13:R14"/>
    <mergeCell ref="A16:F16"/>
    <mergeCell ref="G16:Q16"/>
    <mergeCell ref="A17:F17"/>
    <mergeCell ref="G17:Q17"/>
    <mergeCell ref="A51:F51"/>
    <mergeCell ref="G51:Q51"/>
    <mergeCell ref="A18:E18"/>
    <mergeCell ref="G18:Q18"/>
    <mergeCell ref="A20:F20"/>
    <mergeCell ref="G20:Q20"/>
    <mergeCell ref="A19:F19"/>
    <mergeCell ref="G19:Q19"/>
    <mergeCell ref="A1:V1"/>
    <mergeCell ref="A3:K3"/>
    <mergeCell ref="L3:N3"/>
    <mergeCell ref="A6:E6"/>
    <mergeCell ref="K4:Q4"/>
    <mergeCell ref="A7:G7"/>
    <mergeCell ref="A12:V12"/>
    <mergeCell ref="A13:F14"/>
    <mergeCell ref="G15:Q15"/>
    <mergeCell ref="S13:V13"/>
    <mergeCell ref="A15:F15"/>
    <mergeCell ref="A21:F21"/>
    <mergeCell ref="G21:Q21"/>
    <mergeCell ref="A22:F22"/>
    <mergeCell ref="G22:Q22"/>
    <mergeCell ref="A23:F23"/>
    <mergeCell ref="G23:Q23"/>
    <mergeCell ref="A25:F25"/>
    <mergeCell ref="G25:Q25"/>
    <mergeCell ref="A24:E24"/>
    <mergeCell ref="G24:Q24"/>
    <mergeCell ref="A26:F26"/>
    <mergeCell ref="G26:Q26"/>
    <mergeCell ref="A27:F27"/>
    <mergeCell ref="G27:Q27"/>
    <mergeCell ref="A28:F28"/>
    <mergeCell ref="G28:Q28"/>
    <mergeCell ref="A29:F29"/>
    <mergeCell ref="G29:Q29"/>
    <mergeCell ref="A30:F30"/>
    <mergeCell ref="G30:Q30"/>
    <mergeCell ref="A31:F31"/>
    <mergeCell ref="G31:Q31"/>
    <mergeCell ref="A32:F32"/>
    <mergeCell ref="G32:Q32"/>
    <mergeCell ref="A33:F33"/>
    <mergeCell ref="G33:Q33"/>
    <mergeCell ref="A34:F34"/>
    <mergeCell ref="G34:Q34"/>
    <mergeCell ref="A37:F37"/>
    <mergeCell ref="G37:Q37"/>
    <mergeCell ref="A35:F35"/>
    <mergeCell ref="G35:Q35"/>
    <mergeCell ref="A36:F36"/>
    <mergeCell ref="G36:Q36"/>
    <mergeCell ref="A38:F38"/>
    <mergeCell ref="G38:Q38"/>
    <mergeCell ref="A42:F42"/>
    <mergeCell ref="G42:Q42"/>
    <mergeCell ref="A39:F39"/>
    <mergeCell ref="G39:Q39"/>
    <mergeCell ref="A40:F40"/>
    <mergeCell ref="G40:Q40"/>
    <mergeCell ref="A69:F69"/>
    <mergeCell ref="G69:Q69"/>
    <mergeCell ref="A68:E68"/>
    <mergeCell ref="G68:Q68"/>
    <mergeCell ref="A70:F70"/>
    <mergeCell ref="G70:Q70"/>
    <mergeCell ref="A71:F71"/>
    <mergeCell ref="G71:Q71"/>
    <mergeCell ref="A72:F72"/>
    <mergeCell ref="G72:Q72"/>
    <mergeCell ref="A73:F73"/>
    <mergeCell ref="G73:Q73"/>
    <mergeCell ref="A74:F74"/>
    <mergeCell ref="G74:Q74"/>
    <mergeCell ref="A75:F75"/>
    <mergeCell ref="G75:Q75"/>
    <mergeCell ref="A76:F76"/>
    <mergeCell ref="G76:Q76"/>
    <mergeCell ref="A79:F79"/>
    <mergeCell ref="G79:Q79"/>
    <mergeCell ref="A78:F78"/>
    <mergeCell ref="G78:Q78"/>
    <mergeCell ref="A77:F77"/>
    <mergeCell ref="G77:Q77"/>
    <mergeCell ref="A80:F80"/>
    <mergeCell ref="G80:Q80"/>
    <mergeCell ref="A107:F107"/>
    <mergeCell ref="G107:Q107"/>
    <mergeCell ref="A89:F89"/>
    <mergeCell ref="G89:Q89"/>
    <mergeCell ref="A90:E90"/>
    <mergeCell ref="G90:Q90"/>
    <mergeCell ref="A91:E91"/>
    <mergeCell ref="G91:Q91"/>
    <mergeCell ref="A136:F136"/>
    <mergeCell ref="G136:Q136"/>
    <mergeCell ref="A137:F137"/>
    <mergeCell ref="G137:Q137"/>
    <mergeCell ref="A138:F138"/>
    <mergeCell ref="G138:Q138"/>
    <mergeCell ref="A139:F139"/>
    <mergeCell ref="G139:Q139"/>
    <mergeCell ref="A140:F140"/>
    <mergeCell ref="G140:Q140"/>
    <mergeCell ref="A143:F143"/>
    <mergeCell ref="G143:Q143"/>
    <mergeCell ref="A142:F142"/>
    <mergeCell ref="G142:Q142"/>
    <mergeCell ref="A141:F141"/>
    <mergeCell ref="G141:Q141"/>
    <mergeCell ref="A144:F144"/>
    <mergeCell ref="G144:Q144"/>
    <mergeCell ref="A149:F149"/>
    <mergeCell ref="G149:Q149"/>
    <mergeCell ref="A145:F145"/>
    <mergeCell ref="G145:Q145"/>
    <mergeCell ref="A146:F146"/>
    <mergeCell ref="G146:Q146"/>
    <mergeCell ref="A148:F148"/>
    <mergeCell ref="G148:Q148"/>
    <mergeCell ref="A147:F147"/>
    <mergeCell ref="G147:Q147"/>
    <mergeCell ref="A155:F155"/>
    <mergeCell ref="G155:Q155"/>
    <mergeCell ref="A152:F152"/>
    <mergeCell ref="G152:Q152"/>
    <mergeCell ref="A153:F153"/>
    <mergeCell ref="G153:Q153"/>
    <mergeCell ref="A154:F154"/>
    <mergeCell ref="G154:Q154"/>
    <mergeCell ref="A159:F159"/>
    <mergeCell ref="G159:Q159"/>
    <mergeCell ref="A160:F160"/>
    <mergeCell ref="G160:Q160"/>
    <mergeCell ref="A161:F161"/>
    <mergeCell ref="G161:Q161"/>
    <mergeCell ref="A162:F162"/>
    <mergeCell ref="G162:Q162"/>
    <mergeCell ref="A163:F163"/>
    <mergeCell ref="G163:Q163"/>
    <mergeCell ref="A164:F164"/>
    <mergeCell ref="G164:Q164"/>
    <mergeCell ref="A165:F165"/>
    <mergeCell ref="G165:Q165"/>
    <mergeCell ref="A166:F166"/>
    <mergeCell ref="G166:Q166"/>
    <mergeCell ref="A167:F167"/>
    <mergeCell ref="G167:Q167"/>
    <mergeCell ref="A168:F168"/>
    <mergeCell ref="G168:Q168"/>
    <mergeCell ref="A169:F169"/>
    <mergeCell ref="G169:Q169"/>
    <mergeCell ref="A170:F170"/>
    <mergeCell ref="G170:Q170"/>
    <mergeCell ref="A171:F171"/>
    <mergeCell ref="G171:Q171"/>
    <mergeCell ref="A172:F172"/>
    <mergeCell ref="G172:Q172"/>
    <mergeCell ref="A173:F173"/>
    <mergeCell ref="G173:Q173"/>
    <mergeCell ref="A175:F175"/>
    <mergeCell ref="G175:Q175"/>
    <mergeCell ref="A174:E174"/>
    <mergeCell ref="G174:Q174"/>
    <mergeCell ref="A176:F176"/>
    <mergeCell ref="G176:Q176"/>
    <mergeCell ref="A177:F177"/>
    <mergeCell ref="G177:Q177"/>
    <mergeCell ref="A178:F178"/>
    <mergeCell ref="G178:Q178"/>
    <mergeCell ref="A180:F180"/>
    <mergeCell ref="G180:Q180"/>
    <mergeCell ref="A179:E179"/>
    <mergeCell ref="G179:Q179"/>
    <mergeCell ref="A181:F181"/>
    <mergeCell ref="G181:Q181"/>
    <mergeCell ref="A182:F182"/>
    <mergeCell ref="G182:Q182"/>
    <mergeCell ref="A183:F183"/>
    <mergeCell ref="G183:Q183"/>
    <mergeCell ref="A184:F184"/>
    <mergeCell ref="G184:Q184"/>
    <mergeCell ref="A185:F185"/>
    <mergeCell ref="G185:Q185"/>
    <mergeCell ref="A186:F186"/>
    <mergeCell ref="G186:Q186"/>
    <mergeCell ref="A187:F187"/>
    <mergeCell ref="G187:Q187"/>
    <mergeCell ref="A188:F188"/>
    <mergeCell ref="G188:Q188"/>
    <mergeCell ref="A189:F189"/>
    <mergeCell ref="G189:Q189"/>
    <mergeCell ref="A191:F191"/>
    <mergeCell ref="G191:Q191"/>
    <mergeCell ref="A190:F190"/>
    <mergeCell ref="G190:Q190"/>
    <mergeCell ref="A192:F192"/>
    <mergeCell ref="G192:Q192"/>
    <mergeCell ref="A193:F193"/>
    <mergeCell ref="G193:Q193"/>
    <mergeCell ref="A194:F194"/>
    <mergeCell ref="G194:Q194"/>
    <mergeCell ref="A195:F195"/>
    <mergeCell ref="G195:Q195"/>
    <mergeCell ref="A196:F196"/>
    <mergeCell ref="G196:Q196"/>
    <mergeCell ref="A197:F197"/>
    <mergeCell ref="G197:Q197"/>
    <mergeCell ref="A198:F198"/>
    <mergeCell ref="G198:Q198"/>
    <mergeCell ref="A199:F199"/>
    <mergeCell ref="G199:Q199"/>
    <mergeCell ref="A200:F200"/>
    <mergeCell ref="G200:Q200"/>
    <mergeCell ref="A204:F204"/>
    <mergeCell ref="G204:Q204"/>
    <mergeCell ref="A201:F201"/>
    <mergeCell ref="G201:Q201"/>
    <mergeCell ref="A202:F202"/>
    <mergeCell ref="G202:Q202"/>
    <mergeCell ref="A203:F203"/>
    <mergeCell ref="G203:Q203"/>
    <mergeCell ref="A205:F205"/>
    <mergeCell ref="G205:Q205"/>
    <mergeCell ref="A206:F206"/>
    <mergeCell ref="G206:Q206"/>
    <mergeCell ref="A207:Q207"/>
    <mergeCell ref="A208:V208"/>
    <mergeCell ref="A209:H209"/>
    <mergeCell ref="I209:M209"/>
    <mergeCell ref="N209:R209"/>
    <mergeCell ref="S209:V209"/>
    <mergeCell ref="S210:V210"/>
    <mergeCell ref="A211:H211"/>
    <mergeCell ref="I211:M211"/>
    <mergeCell ref="N211:R211"/>
    <mergeCell ref="S211:V211"/>
    <mergeCell ref="A210:I210"/>
    <mergeCell ref="K210:L210"/>
    <mergeCell ref="N210:O210"/>
    <mergeCell ref="P210:R210"/>
    <mergeCell ref="A214:B214"/>
    <mergeCell ref="C214:V214"/>
    <mergeCell ref="A212:I212"/>
    <mergeCell ref="K212:L212"/>
    <mergeCell ref="N212:O212"/>
    <mergeCell ref="P212:R212"/>
    <mergeCell ref="A213:C213"/>
    <mergeCell ref="A215:V215"/>
    <mergeCell ref="O3:P3"/>
    <mergeCell ref="A9:H9"/>
    <mergeCell ref="A8:F8"/>
    <mergeCell ref="F6:R6"/>
    <mergeCell ref="H7:S7"/>
    <mergeCell ref="G11:P11"/>
    <mergeCell ref="A11:C11"/>
    <mergeCell ref="S212:V212"/>
    <mergeCell ref="A64:E64"/>
    <mergeCell ref="A66:E66"/>
    <mergeCell ref="G64:Q64"/>
    <mergeCell ref="G66:Q66"/>
    <mergeCell ref="A65:E65"/>
    <mergeCell ref="G65:Q65"/>
    <mergeCell ref="A53:F53"/>
    <mergeCell ref="A47:F47"/>
    <mergeCell ref="G47:Q47"/>
    <mergeCell ref="A48:F48"/>
    <mergeCell ref="G48:Q48"/>
    <mergeCell ref="A151:F151"/>
    <mergeCell ref="G151:Q151"/>
    <mergeCell ref="A150:F150"/>
    <mergeCell ref="G150:Q150"/>
    <mergeCell ref="A158:E158"/>
    <mergeCell ref="G158:Q158"/>
    <mergeCell ref="A156:F156"/>
    <mergeCell ref="G156:Q156"/>
    <mergeCell ref="A157:F157"/>
    <mergeCell ref="G157:Q157"/>
    <mergeCell ref="A92:F92"/>
    <mergeCell ref="G92:Q92"/>
    <mergeCell ref="A93:E93"/>
    <mergeCell ref="G93:Q93"/>
    <mergeCell ref="A94:F94"/>
    <mergeCell ref="G94:Q94"/>
    <mergeCell ref="A95:E95"/>
    <mergeCell ref="G95:Q95"/>
    <mergeCell ref="A100:F100"/>
    <mergeCell ref="G100:Q100"/>
    <mergeCell ref="A121:E121"/>
    <mergeCell ref="G121:Q121"/>
    <mergeCell ref="A108:F108"/>
    <mergeCell ref="G108:Q108"/>
    <mergeCell ref="A109:F109"/>
    <mergeCell ref="G109:Q109"/>
    <mergeCell ref="A118:F118"/>
    <mergeCell ref="G118:Q118"/>
    <mergeCell ref="G82:Q82"/>
    <mergeCell ref="A85:E85"/>
    <mergeCell ref="G85:Q85"/>
    <mergeCell ref="A81:E81"/>
    <mergeCell ref="A82:F82"/>
    <mergeCell ref="A83:E83"/>
    <mergeCell ref="G81:Q81"/>
    <mergeCell ref="A84:E84"/>
    <mergeCell ref="A87:E87"/>
    <mergeCell ref="A88:E88"/>
    <mergeCell ref="G83:Q83"/>
    <mergeCell ref="G84:Q84"/>
    <mergeCell ref="G87:Q87"/>
    <mergeCell ref="F88:Q88"/>
    <mergeCell ref="A86:E86"/>
    <mergeCell ref="G86:Q86"/>
    <mergeCell ref="A60:F60"/>
    <mergeCell ref="G60:Q60"/>
    <mergeCell ref="A58:E58"/>
    <mergeCell ref="G58:Q58"/>
    <mergeCell ref="A59:F59"/>
    <mergeCell ref="G59:Q59"/>
    <mergeCell ref="A63:F63"/>
    <mergeCell ref="G63:Q63"/>
    <mergeCell ref="A61:F61"/>
    <mergeCell ref="G61:Q61"/>
    <mergeCell ref="A62:F62"/>
    <mergeCell ref="G62:Q62"/>
    <mergeCell ref="A101:E101"/>
    <mergeCell ref="G101:Q101"/>
    <mergeCell ref="A102:F102"/>
    <mergeCell ref="G102:Q102"/>
    <mergeCell ref="A117:F117"/>
    <mergeCell ref="G117:Q117"/>
    <mergeCell ref="A99:F99"/>
    <mergeCell ref="G99:Q99"/>
    <mergeCell ref="A105:E105"/>
    <mergeCell ref="G105:Q105"/>
    <mergeCell ref="A106:E106"/>
    <mergeCell ref="G106:Q106"/>
    <mergeCell ref="A103:E103"/>
    <mergeCell ref="G103:Q103"/>
    <mergeCell ref="A114:F114"/>
    <mergeCell ref="G114:Q114"/>
    <mergeCell ref="A55:F55"/>
    <mergeCell ref="A56:F56"/>
    <mergeCell ref="A57:F57"/>
    <mergeCell ref="G55:P55"/>
    <mergeCell ref="G56:P56"/>
    <mergeCell ref="G57:Q57"/>
    <mergeCell ref="A104:E104"/>
    <mergeCell ref="G104:Q104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selection activeCell="A1" sqref="A1:IV16384"/>
    </sheetView>
  </sheetViews>
  <sheetFormatPr defaultColWidth="9.00390625" defaultRowHeight="12.75"/>
  <cols>
    <col min="1" max="16384" width="9.125" style="1" customWidth="1"/>
  </cols>
  <sheetData/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Алябьевский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 Пользователь</dc:creator>
  <cp:keywords/>
  <dc:description/>
  <cp:lastModifiedBy>Glava</cp:lastModifiedBy>
  <cp:lastPrinted>2011-09-06T04:34:12Z</cp:lastPrinted>
  <dcterms:created xsi:type="dcterms:W3CDTF">2008-06-09T11:33:47Z</dcterms:created>
  <dcterms:modified xsi:type="dcterms:W3CDTF">2011-09-06T04:35:01Z</dcterms:modified>
  <cp:category/>
  <cp:version/>
  <cp:contentType/>
  <cp:contentStatus/>
</cp:coreProperties>
</file>